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richData/rdrichvalue.xml" ContentType="application/vnd.ms-excel.rdrichvalue+xml"/>
  <Override PartName="/xl/richData/rdRichValueTypes.xml" ContentType="application/vnd.ms-excel.rdrichvaluetypes+xml"/>
  <Override PartName="/xl/richData/rdrichvaluestructure.xml" ContentType="application/vnd.ms-excel.rdrichvaluestructure+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rabovolyuk\OneDrive\Документы\Remote office Jan 31 2021\GF 21 23 implemetation\"/>
    </mc:Choice>
  </mc:AlternateContent>
  <bookViews>
    <workbookView xWindow="0" yWindow="0" windowWidth="23040" windowHeight="9096" tabRatio="679" activeTab="1"/>
  </bookViews>
  <sheets>
    <sheet name="Напрямки" sheetId="8" r:id="rId1"/>
    <sheet name="Контакти" sheetId="13" r:id="rId2"/>
    <sheet name="2023" sheetId="12" state="hidden" r:id="rId3"/>
    <sheet name="Напрями" sheetId="1" state="hidden" r:id="rId4"/>
    <sheet name="Assumptions TRC_AUN" sheetId="2" state="hidden" r:id="rId5"/>
    <sheet name="Assumptions HR_AUN" sheetId="3" state="hidden" r:id="rId6"/>
    <sheet name="Assumptions Other_AUN" sheetId="4" state="hidden" r:id="rId7"/>
    <sheet name="Budget_C19RM" sheetId="5" state="hidden" r:id="rId8"/>
    <sheet name="Assumptions_C19RM" sheetId="6" state="hidden" r:id="rId9"/>
    <sheet name="Budget_main" sheetId="7" state="hidden" r:id="rId10"/>
    <sheet name="ТБ-2023 (від ЦГЗ)" sheetId="10"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TB1">[1]HIV!$A$2:$A$24</definedName>
    <definedName name="______TB1">[1]HIV!$A$2:$A$24</definedName>
    <definedName name="_____TB1">[1]HIV!$A$2:$A$24</definedName>
    <definedName name="____TB1">[1]HIV!$A$2:$A$24</definedName>
    <definedName name="___TB1">[1]HIV!$A$2:$A$24</definedName>
    <definedName name="__TB1">[1]HIV!$A$2:$A$24</definedName>
    <definedName name="_0a54ea9f_6551_4517_a878_c152fb55f9a1">'[2]Recipient sheet'!#REF!</definedName>
    <definedName name="_6d661af8_29d6_4e8e_a5b0_cc84ee4eb720">[2]Setup!$G$7</definedName>
    <definedName name="_Key1">#REF!</definedName>
    <definedName name="_Order1">255</definedName>
    <definedName name="_RegionName">[3]Welcome!$D$8</definedName>
    <definedName name="_Sort">#REF!</definedName>
    <definedName name="_TB1">[1]HIV!$A$2:$A$24</definedName>
    <definedName name="_xlnm._FilterDatabase" localSheetId="2" hidden="1">'2023'!$A$1:$N$74</definedName>
    <definedName name="_xlnm._FilterDatabase" localSheetId="8" hidden="1">Assumptions_C19RM!$A$1:$AD$539</definedName>
    <definedName name="_xlnm._FilterDatabase" localSheetId="7" hidden="1">Budget_C19RM!$A$1:$AL$100</definedName>
    <definedName name="_xlnm._FilterDatabase" localSheetId="9" hidden="1">Budget_main!$A$3:$J$66</definedName>
    <definedName name="_xlnm._FilterDatabase" localSheetId="3" hidden="1">Напрями!$A$1:$U$78</definedName>
    <definedName name="_xlnm._FilterDatabase" localSheetId="0" hidden="1">Напрямки!$A$1:$F$509</definedName>
    <definedName name="_xlnm._FilterDatabase" localSheetId="10" hidden="1">'ТБ-2023 (від ЦГЗ)'!$A$3:$M$30</definedName>
    <definedName name="AccountRole">IF('[2]Data Sheet'!$E$288&lt;&gt;"",OFFSET('[2]Recipient sheet'!$B$2,1,0,MATCH(" ",'[2]Recipient sheet'!$B$2:$B$17,-1)-1,1), OFFSET('[2]Recipient sheet'!$B$34,1,0,MATCH(" ",'[2]Recipient sheet'!$B$34:$B$68,-1)-1,1))</definedName>
    <definedName name="BLCount">COUNT('[2]Detailed Budget'!A1:A500)</definedName>
    <definedName name="CmpAcroSelected">INDIRECT(ADDRESS(CmpSelectedOnRow,2,1,TRUE,"CatCmp"))</definedName>
    <definedName name="CmpIdSelected">INDIRECT(ADDRESS(CmpSelectedOnRow,1,1,TRUE,"CatCmp"))</definedName>
    <definedName name="CmpSelectedOnRow">IFERROR(MATCH(ComponentSelected,#REF!,0),"")</definedName>
    <definedName name="COE">[4]List!$A$3:$A$4</definedName>
    <definedName name="ComponentConcatenation">CONCATENATE([2]Setup!A1, [2]Setup!A2,", ",[2]Setup!A3,", ",[2]Setup!A4,", ",[2]Setup!A5)</definedName>
    <definedName name="ComponentList">[2]Setup!$C$31:$C$31</definedName>
    <definedName name="ComponentSelected">[2]Setup!$S$4</definedName>
    <definedName name="Cost_Category">[5]Definitions!$F$3:$F$15</definedName>
    <definedName name="CostInpInCmpInOthProd">OFFSET([6]CostInpInCmpInSFpsmCat!$F$3,0,0,[6]CostInpInCmpInSFpsmCat!$F$1,1)</definedName>
    <definedName name="CostInpInCmpInPharma">OFFSET([7]CostInpInCmpInSFpsmCat!$B$3,0,0,[7]CostInpInCmpInSFpsmCat!$B$1,1)</definedName>
    <definedName name="CostInpNoList">'[2]Detailed Budget'!$CN$6:$CN$1506</definedName>
    <definedName name="CostInput">OFFSET('[2]Data Sheet'!$G$297,1,0,MATCH(" ",'[2]Data Sheet'!$G$297:$G$378,-1)-1,1)</definedName>
    <definedName name="CostInputs">OFFSET(#REF!,0,VLOOKUP(ComponentSelected,#REF!,6,FALSE),#REF!,1)</definedName>
    <definedName name="Country">OFFSET(#REF!,0,0,COUNTA(#REF!),1)</definedName>
    <definedName name="COUNTRY_">[8]PR_Countries!$I$2:$I$145</definedName>
    <definedName name="Coverage_Module">OFFSET(#REF!,1,0,MATCH(" ",#REF!,-1)-1,1)</definedName>
    <definedName name="Currencies">OFFSET([2]Setup!$I$47:$I$59,1,0,MAX([2]Setup!$G$47:$G$59),1)</definedName>
    <definedName name="E">[1]HIV!$F$3</definedName>
    <definedName name="ES">[1]HIV!$F$4</definedName>
    <definedName name="euro">[9]Activities!$D$4</definedName>
    <definedName name="Geographylocation">[2]Setup!$Z$35:$Z$54</definedName>
    <definedName name="GRAN_NO">[8]SETUP!$G$13</definedName>
    <definedName name="HIV1S1T1C1">OFFSET([10]PMsheet!$O$1,MATCH('[10]HIV-Pharmaceuticals'!$A$7&amp;'[10]HIV-Pharmaceuticals'!$A$8,[10]PMsheet!$M:$M&amp;[10]PMsheet!$N:$N,0)-1,0,COUNTIFS([10]PMsheet!$M:$M,'[10]HIV-Pharmaceuticals'!$A$7,[10]PMsheet!$N:$N,'[10]HIV-Pharmaceuticals'!$A$8),1)</definedName>
    <definedName name="HIV1S1T1C2">OFFSET([10]PMsheet!$U:$U,MATCH('[10]HIV-Pharmaceuticals'!$A$7&amp;'[10]HIV-Pharmaceuticals'!$A$8&amp;'[10]HIV-Pharmaceuticals'!$A1,[10]PMsheet!$R:$R&amp;[10]PMsheet!$S:$S&amp;[10]PMsheet!$T:$T,0)-1,0,COUNTIFS([10]PMsheet!N:N,'[10]HIV-Pharmaceuticals'!$A$7,[10]PMsheet!$S:$S,'[10]HIV-Pharmaceuticals'!$A$8,[10]PMsheet!$T:$T,'[10]HIV-Pharmaceuticals'!$A1),)</definedName>
    <definedName name="HIV1S1T1C3">OFFSET([10]PMsheet!$G$1,MATCH('[10]HIV-Pharmaceuticals'!$A$7&amp;'[10]HIV-Pharmaceuticals'!$A$8&amp;'[10]HIV-Pharmaceuticals'!$A1&amp;'[10]HIV-Pharmaceuticals'!$E1,[10]PMsheet!$B:$B&amp;[10]PMsheet!$C:$C&amp;[10]PMsheet!$E:$E&amp;[10]PMsheet!$F:$F,0)-1,0,COUNTIFS([10]PMsheet!$B:$B,'[10]HIV-Pharmaceuticals'!$A$7,[10]PMsheet!$C:$C,'[10]HIV-Pharmaceuticals'!$A$8,[10]PMsheet!$E:$E,'[10]HIV-Pharmaceuticals'!$A1,[10]PMsheet!$F:$F,'[10]HIV-Pharmaceuticals'!$E1),)</definedName>
    <definedName name="HIV1S2T1C1">OFFSET([10]PMsheet!$O$1,MATCH('[10]HIV-Pharmaceuticals'!$A$7&amp;'[10]HIV-Pharmaceuticals'!$A$101,[10]PMsheet!$M:$M&amp;[10]PMsheet!$N:$N,0)-1,0,COUNTIFS([10]PMsheet!$M:$M,'[10]HIV-Pharmaceuticals'!$A$7,[10]PMsheet!$N:$N,'[10]HIV-Pharmaceuticals'!$A$101),1)</definedName>
    <definedName name="HIV1S2T1C2">OFFSET([10]PMsheet!$U:$U,MATCH('[10]HIV-Pharmaceuticals'!$A$7&amp;'[10]HIV-Pharmaceuticals'!$A$101&amp;'[10]HIV-Pharmaceuticals'!$A1,[10]PMsheet!$R:$R&amp;[10]PMsheet!$S:$S&amp;[10]PMsheet!$T:$T,0)-1,0,COUNTIFS([10]PMsheet!N:N,'[10]HIV-Pharmaceuticals'!$A$7,[10]PMsheet!$S:$S,'[10]HIV-Pharmaceuticals'!$A$101,[10]PMsheet!$T:$T,'[10]HIV-Pharmaceuticals'!$A1),)</definedName>
    <definedName name="HIV1S2T1C3">OFFSET([10]PMsheet!$G$1,MATCH('[10]HIV-Pharmaceuticals'!$A$7&amp;'[10]HIV-Pharmaceuticals'!$A$101&amp;'[10]HIV-Pharmaceuticals'!$A1&amp;'[10]HIV-Pharmaceuticals'!$E1,[10]PMsheet!$B:$B&amp;[10]PMsheet!$C:$C&amp;[10]PMsheet!$E:$E&amp;[10]PMsheet!$F:$F,0)-1,,COUNTIFS([10]PMsheet!$B:$B,'[10]HIV-Pharmaceuticals'!$A$7,[10]PMsheet!$C:$C,'[10]HIV-Pharmaceuticals'!$A$101,[10]PMsheet!$E:$E,'[10]HIV-Pharmaceuticals'!$A1,[10]PMsheet!$F:$F,'[10]HIV-Pharmaceuticals'!$E1))</definedName>
    <definedName name="HIVII">[1]HIV!$B$2:$B$7</definedName>
    <definedName name="HIVOI">[1]HIV!$D$2:$D$13</definedName>
    <definedName name="HIVSDA">[1]HIV!$A$2:$A$24</definedName>
    <definedName name="HIVSource">[1]HIV!$E$2:$E$19</definedName>
    <definedName name="hours_y">1833</definedName>
    <definedName name="HSSSDA">[11]HSS!$A$3:$A$19</definedName>
    <definedName name="IMP_ST_DATE">[8]SETUP!$G$14</definedName>
    <definedName name="Implementing_Entity_Type">[5]Definitions!$H$3:$H$9</definedName>
    <definedName name="ImplementingEntityList">'[2]Recipient sheet'!$A$84:$A$97</definedName>
    <definedName name="IntIdList">'[2]Detailed Budget'!$CJ$6:$CJ$1506</definedName>
    <definedName name="KEY">[8]SETUP!$G$12</definedName>
    <definedName name="KEY_1">[8]SETUP!$F$12</definedName>
    <definedName name="LangOffset">[2]Translations!$C$1</definedName>
    <definedName name="Language">[2]Setup!$F$3</definedName>
    <definedName name="List1">'[12]шкала SDA и др'!$M$3:$M$15</definedName>
    <definedName name="LocalCurrency">IF(NOT([2]Setup!$E$7=""),VLOOKUP([2]Setup!$E$7,[2]Currencies!$B$2:$G$250, 6, FALSE),"")</definedName>
    <definedName name="MalariaII">[13]Malaria!$B$2:$B$11</definedName>
    <definedName name="MalariaOI">[13]Malaria!$D$2:$D$11</definedName>
    <definedName name="MalariaSDA">[13]Malaria!$A$2:$A$19</definedName>
    <definedName name="MalariaSDA1">[13]Malaria!$A$2:$A$19</definedName>
    <definedName name="MalariaSource">[13]Malaria!$E$2:$E$20</definedName>
    <definedName name="MalariaSource1">[13]Malaria!$E$2:$E$20</definedName>
    <definedName name="MO_CHECK">[8]SETUP!$H$14</definedName>
    <definedName name="ModuleColumn">'[2]Data Sheet'!$C$39:$C$159</definedName>
    <definedName name="ModuleIdList">'[2]Detailed Budget'!$CI$6:$CI$1506</definedName>
    <definedName name="ModulesInCmp">OFFSET(#REF!,0,0,NbrOfModulesInCmp,1)</definedName>
    <definedName name="ModuleStart">[2]!Intervention[Module]</definedName>
    <definedName name="NbMachin">[8]LISTS!$E$3:$E$114</definedName>
    <definedName name="NbrOfModulesInCmp">COUNT(#REF!)</definedName>
    <definedName name="NbrOfPRsSelected">COUNTA([2]Setup!#REF!)</definedName>
    <definedName name="Other">[8]LISTS!$K$3,[8]LISTS!$K$6,[8]LISTS!$K$9,[8]LISTS!$K$10,[8]LISTS!$K$12,[8]LISTS!$K$13,[8]LISTS!$K$14,[8]LISTS!$K$20</definedName>
    <definedName name="period">'[14]Data Entry'!$C$4</definedName>
    <definedName name="Pharma">OFFSET('[15]Pharma CIs'!$C$2,0,0,COUNTA('[15]Pharma CIs'!$C$2:$C$11),1)</definedName>
    <definedName name="PM">[1]HIV!$F$5</definedName>
    <definedName name="PRacronyms">OFFSET([6]Setup!$D$16,0,0,COUNTA([6]Setup!$B$16:$B$25),1)</definedName>
    <definedName name="PROCUREMENTENTITY">[8]LISTS!$F$3:$F$6</definedName>
    <definedName name="PRsInCountry">OFFSET(#REF!,MATCH([2]Setup!$E$7,#REF!,0)-1,0,COUNTIF(#REF!,[2]Setup!$E$7),1)</definedName>
    <definedName name="PS">[1]HIV!$F$5</definedName>
    <definedName name="PSM">#REF!</definedName>
    <definedName name="Rapid_Diagnostic_Test_Malaria">'[8]Malaria-Other HPs'!$H$2:$H$9</definedName>
    <definedName name="Recipient">OFFSET([2]Setup!$R$62,1,0,MATCH(" ",[2]Setup!$R$62:$R$122,-1)-1,1)</definedName>
    <definedName name="RecipientList">[2]Setup!$R$63:$R$122</definedName>
    <definedName name="Res">OFFSET('[2]Recipient sheet'!$B$2,1,0,MATCH("*",'[2]Recipient sheet'!$B$2:$B$17,-1)-1,1)</definedName>
    <definedName name="ResponsiblePR">OFFSET(#REF!,1,0,MATCH(" ",#REF!,-1)-1,1)</definedName>
    <definedName name="RSHHHPMSystems">'[8]HPM LIST'!$A$2:$A$6</definedName>
    <definedName name="SampleTypeVLEID">[8]LISTS!$M$3:$M$5</definedName>
    <definedName name="TB">[1]HIV!$D$2:$D$13</definedName>
    <definedName name="TB2S2T1C2">OFFSET([16]PMsheet!$U:$U,(MATCH('[16]TB-EQUIPMENT &amp; OTHER HPs'!$A$7&amp;'[16]TB-EQUIPMENT &amp; OTHER HPs'!$A$63&amp;'[16]TB-EQUIPMENT &amp; OTHER HPs'!$A1,[16]PMsheet!$R:$R&amp;[16]PMsheet!$S:$S&amp;[16]PMsheet!$T:$T,0)-1),0,COUNTIFS([16]PMsheet!$R:$R,'[16]TB-EQUIPMENT &amp; OTHER HPs'!$A$7,[16]PMsheet!$S:$S,'[16]TB-EQUIPMENT &amp; OTHER HPs'!$A$63,[16]PMsheet!$T:$T,'[16]TB-EQUIPMENT &amp; OTHER HPs'!$A1),)</definedName>
    <definedName name="TB2S2T1C3">OFFSET([16]PMsheet!$G$1,MATCH('[16]TB-EQUIPMENT &amp; OTHER HPs'!$A$7&amp;'[16]TB-EQUIPMENT &amp; OTHER HPs'!$A$63&amp;'[16]TB-EQUIPMENT &amp; OTHER HPs'!$A1&amp;'[16]TB-EQUIPMENT &amp; OTHER HPs'!$E1,[16]PMsheet!$B:$B&amp;[16]PMsheet!$C:$C&amp;[16]PMsheet!$E:$E&amp;[16]PMsheet!$F:$F,0)-1,0,COUNTIFS([16]PMsheet!$B:$B,'[16]TB-EQUIPMENT &amp; OTHER HPs'!$A$7,[16]PMsheet!$C:$C,'[16]TB-EQUIPMENT &amp; OTHER HPs'!$A$63,[16]PMsheet!$E:$E,'[16]TB-EQUIPMENT &amp; OTHER HPs'!$A1,[16]PMsheet!$F:$F,'[16]TB-EQUIPMENT &amp; OTHER HPs'!$E1),)</definedName>
    <definedName name="TBII">[17]TB!$B$2:$B$5</definedName>
    <definedName name="TBIII">[17]TB!$B$2:$B$5</definedName>
    <definedName name="TBOI">[17]TB!$D$2:$D$4</definedName>
    <definedName name="TBSDA">[17]TB!$A$2:$A$21</definedName>
    <definedName name="TBSource">[17]TB!$E$2:$E$16</definedName>
    <definedName name="TG">[17]TB!$D$2:$D$4</definedName>
    <definedName name="TypeOfPay">[8]LISTS!$F$9:$F$10</definedName>
    <definedName name="UnitMeasure3">[8]LISTS!$S$3:$S$5</definedName>
    <definedName name="VERSION">[8]LISTS!$E$4:$E$23</definedName>
    <definedName name="ViralLoadBrand">[8]LISTS!$K$3,[8]LISTS!$K$6,[8]LISTS!$K$9,[8]LISTS!$K$10,[8]LISTS!$K$12,[8]LISTS!$K$13,[8]LISTS!$K$14,[8]LISTS!$K$20</definedName>
    <definedName name="VLEIDBrand">[8]LISTS!$J$3:$J$10</definedName>
    <definedName name="wrn.All._.Grant._.Forms.">{"Form DD",#N/A,FALSE,"DD";"EE",#N/A,FALSE,"EE";"Indirects",#N/A,FALSE,"DD"}</definedName>
    <definedName name="wrn.Summary._.1._.Year.">{"One Year",#N/A,FALSE,"Summary"}</definedName>
    <definedName name="XAuthorInvalidPicklistData">[2]apttusmetadata!$B$1</definedName>
    <definedName name="YesNo">[8]LISTS!$O$3:$O$4</definedName>
    <definedName name="Z_333F8983_2480_44CC_8AD9_8B6EEC4D2901_.wvu.FilterData" localSheetId="3" hidden="1">Напрями!$A$1:$U$79</definedName>
    <definedName name="Z_4F3EDC60_D519_4707_92A2_E9451517B9C7_.wvu.FilterData" localSheetId="3" hidden="1">Напрями!$R$1:$R$990</definedName>
    <definedName name="Z_B3F5864E_582C_43A3_8441_34FB1FE3F903_.wvu.FilterData" localSheetId="3" hidden="1">Напрями!$A$1:$U$78</definedName>
    <definedName name="КВ">'[18]Категорія витрат'!$B$2:$B$30</definedName>
    <definedName name="ф491">'[19]Assumptions TRC_APH'!#REF!</definedName>
    <definedName name="Форма_взаємовідносин">'[18]Категорія витрат'!$F$2:$F$5</definedName>
  </definedNames>
  <calcPr calcId="152511"/>
  <customWorkbookViews>
    <customWorkbookView name="Фільтр 1" guid="{4F3EDC60-D519-4707-92A2-E9451517B9C7}" maximized="1" windowWidth="0" windowHeight="0" activeSheetId="0"/>
    <customWorkbookView name="Фільтр 2" guid="{333F8983-2480-44CC-8AD9-8B6EEC4D2901}" maximized="1" windowWidth="0" windowHeight="0" activeSheetId="0"/>
    <customWorkbookView name="Фільтр 3" guid="{B3F5864E-582C-43A3-8441-34FB1FE3F90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31" roundtripDataSignature="AMtx7mg9C5KGc8FQwKm0uEOLzWJLaDGD7A=="/>
    </ext>
  </extLst>
</workbook>
</file>

<file path=xl/calcChain.xml><?xml version="1.0" encoding="utf-8"?>
<calcChain xmlns="http://schemas.openxmlformats.org/spreadsheetml/2006/main">
  <c r="F470" i="8" l="1"/>
  <c r="I75" i="12"/>
  <c r="H75" i="12"/>
  <c r="G75" i="12"/>
  <c r="F75" i="12"/>
  <c r="E75" i="12"/>
  <c r="D75" i="12"/>
  <c r="C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J5" i="12"/>
  <c r="J4" i="12"/>
  <c r="J3" i="12"/>
  <c r="J2" i="12"/>
  <c r="J75" i="12" l="1"/>
  <c r="F509" i="8" l="1"/>
  <c r="F508" i="8"/>
  <c r="F504" i="8"/>
  <c r="F499" i="8" l="1"/>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500" i="8"/>
  <c r="F501" i="8"/>
  <c r="F502" i="8"/>
  <c r="F503" i="8"/>
  <c r="F505" i="8"/>
  <c r="F506" i="8"/>
  <c r="F507" i="8"/>
  <c r="F3" i="8" l="1"/>
  <c r="F2" i="8" l="1"/>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1" i="8"/>
  <c r="F472" i="8"/>
  <c r="O91" i="1" l="1"/>
  <c r="E36" i="10" l="1"/>
  <c r="F36" i="10" s="1"/>
  <c r="E35" i="10"/>
  <c r="F35" i="10" s="1"/>
  <c r="J30" i="10"/>
  <c r="I30" i="10"/>
  <c r="C30" i="10"/>
  <c r="D30" i="10" s="1"/>
  <c r="N29" i="10"/>
  <c r="L29" i="10"/>
  <c r="D29" i="10"/>
  <c r="F29" i="10" s="1"/>
  <c r="N28" i="10"/>
  <c r="L28" i="10"/>
  <c r="D28" i="10"/>
  <c r="F28" i="10" s="1"/>
  <c r="N27" i="10"/>
  <c r="L27" i="10"/>
  <c r="D27" i="10"/>
  <c r="F27" i="10" s="1"/>
  <c r="N26" i="10"/>
  <c r="L26" i="10"/>
  <c r="D26" i="10"/>
  <c r="F26" i="10" s="1"/>
  <c r="N25" i="10"/>
  <c r="L25" i="10"/>
  <c r="D25" i="10"/>
  <c r="F25" i="10" s="1"/>
  <c r="L24" i="10"/>
  <c r="D24" i="10"/>
  <c r="F24" i="10" s="1"/>
  <c r="N23" i="10"/>
  <c r="L23" i="10"/>
  <c r="D23" i="10"/>
  <c r="F23" i="10" s="1"/>
  <c r="N22" i="10"/>
  <c r="L22" i="10"/>
  <c r="D22" i="10"/>
  <c r="F22" i="10" s="1"/>
  <c r="N21" i="10"/>
  <c r="L21" i="10"/>
  <c r="D21" i="10"/>
  <c r="F21" i="10" s="1"/>
  <c r="N20" i="10"/>
  <c r="L20" i="10"/>
  <c r="D20" i="10"/>
  <c r="F20" i="10" s="1"/>
  <c r="N19" i="10"/>
  <c r="L19" i="10"/>
  <c r="D19" i="10"/>
  <c r="F19" i="10" s="1"/>
  <c r="L18" i="10"/>
  <c r="D18" i="10"/>
  <c r="F18" i="10" s="1"/>
  <c r="L17" i="10"/>
  <c r="D17" i="10"/>
  <c r="F17" i="10" s="1"/>
  <c r="L16" i="10"/>
  <c r="D16" i="10"/>
  <c r="F16" i="10" s="1"/>
  <c r="N15" i="10"/>
  <c r="L15" i="10"/>
  <c r="D15" i="10"/>
  <c r="F15" i="10" s="1"/>
  <c r="N14" i="10"/>
  <c r="L14" i="10"/>
  <c r="D14" i="10"/>
  <c r="F14" i="10" s="1"/>
  <c r="L13" i="10"/>
  <c r="D13" i="10"/>
  <c r="F13" i="10" s="1"/>
  <c r="N12" i="10"/>
  <c r="L12" i="10"/>
  <c r="D12" i="10"/>
  <c r="F12" i="10" s="1"/>
  <c r="N11" i="10"/>
  <c r="L11" i="10"/>
  <c r="D11" i="10"/>
  <c r="F11" i="10" s="1"/>
  <c r="L10" i="10"/>
  <c r="D10" i="10"/>
  <c r="F10" i="10" s="1"/>
  <c r="N9" i="10"/>
  <c r="L9" i="10"/>
  <c r="D9" i="10"/>
  <c r="F9" i="10" s="1"/>
  <c r="L8" i="10"/>
  <c r="D8" i="10"/>
  <c r="F8" i="10" s="1"/>
  <c r="L7" i="10"/>
  <c r="D7" i="10"/>
  <c r="F7" i="10" s="1"/>
  <c r="L6" i="10"/>
  <c r="D6" i="10"/>
  <c r="F6" i="10" s="1"/>
  <c r="N5" i="10"/>
  <c r="G35" i="10" s="1"/>
  <c r="H35" i="10" s="1"/>
  <c r="L5" i="10"/>
  <c r="L30" i="10" s="1"/>
  <c r="M30" i="10" s="1"/>
  <c r="G36" i="10"/>
  <c r="H36" i="10" s="1"/>
  <c r="D5" i="10"/>
  <c r="F5" i="10" s="1"/>
  <c r="F30" i="10" l="1"/>
  <c r="G30" i="10" s="1"/>
  <c r="D80" i="7" l="1"/>
  <c r="H75" i="7"/>
  <c r="F75" i="7"/>
  <c r="D75" i="7"/>
  <c r="I74" i="7"/>
  <c r="G74" i="7"/>
  <c r="E74" i="7"/>
  <c r="I73" i="7"/>
  <c r="G73" i="7"/>
  <c r="E73" i="7"/>
  <c r="H65" i="7"/>
  <c r="I65" i="7" s="1"/>
  <c r="F65" i="7"/>
  <c r="G65" i="7" s="1"/>
  <c r="D65" i="7"/>
  <c r="E65" i="7" s="1"/>
  <c r="H64" i="7"/>
  <c r="I64" i="7" s="1"/>
  <c r="F64" i="7"/>
  <c r="G64" i="7" s="1"/>
  <c r="D64" i="7"/>
  <c r="E64" i="7" s="1"/>
  <c r="H63" i="7"/>
  <c r="I63" i="7" s="1"/>
  <c r="F63" i="7"/>
  <c r="D63" i="7"/>
  <c r="E63" i="7" s="1"/>
  <c r="I62" i="7"/>
  <c r="G62" i="7"/>
  <c r="E62" i="7"/>
  <c r="I61" i="7"/>
  <c r="G61" i="7"/>
  <c r="E61" i="7"/>
  <c r="I60" i="7"/>
  <c r="G60" i="7"/>
  <c r="E60" i="7"/>
  <c r="I59" i="7"/>
  <c r="G59" i="7"/>
  <c r="E59" i="7"/>
  <c r="I58" i="7"/>
  <c r="G58" i="7"/>
  <c r="E58" i="7"/>
  <c r="I57" i="7"/>
  <c r="G57" i="7"/>
  <c r="E57" i="7"/>
  <c r="I56" i="7"/>
  <c r="G56" i="7"/>
  <c r="E56" i="7"/>
  <c r="I55" i="7"/>
  <c r="G55" i="7"/>
  <c r="E55" i="7"/>
  <c r="I54" i="7"/>
  <c r="G54" i="7"/>
  <c r="E54" i="7"/>
  <c r="I53" i="7"/>
  <c r="G53" i="7"/>
  <c r="E53" i="7"/>
  <c r="I52" i="7"/>
  <c r="G52" i="7"/>
  <c r="E52" i="7"/>
  <c r="I51" i="7"/>
  <c r="G51" i="7"/>
  <c r="E51" i="7"/>
  <c r="I50" i="7"/>
  <c r="G50" i="7"/>
  <c r="E50" i="7"/>
  <c r="I49" i="7"/>
  <c r="G49" i="7"/>
  <c r="E49" i="7"/>
  <c r="I48" i="7"/>
  <c r="G48" i="7"/>
  <c r="E48" i="7"/>
  <c r="I47" i="7"/>
  <c r="G47" i="7"/>
  <c r="E47" i="7"/>
  <c r="I46" i="7"/>
  <c r="G46" i="7"/>
  <c r="E46" i="7"/>
  <c r="I45" i="7"/>
  <c r="G45" i="7"/>
  <c r="E45" i="7"/>
  <c r="I44" i="7"/>
  <c r="G44" i="7"/>
  <c r="E44" i="7"/>
  <c r="I43" i="7"/>
  <c r="G43" i="7"/>
  <c r="E43" i="7"/>
  <c r="I42" i="7"/>
  <c r="G42" i="7"/>
  <c r="E42" i="7"/>
  <c r="I41" i="7"/>
  <c r="G41" i="7"/>
  <c r="E41" i="7"/>
  <c r="I40" i="7"/>
  <c r="G40" i="7"/>
  <c r="E40" i="7"/>
  <c r="I39" i="7"/>
  <c r="G39" i="7"/>
  <c r="E39" i="7"/>
  <c r="I38" i="7"/>
  <c r="G38" i="7"/>
  <c r="E38" i="7"/>
  <c r="I37" i="7"/>
  <c r="G37" i="7"/>
  <c r="E37" i="7"/>
  <c r="I36" i="7"/>
  <c r="G36" i="7"/>
  <c r="E36" i="7"/>
  <c r="I35" i="7"/>
  <c r="G35" i="7"/>
  <c r="E35" i="7"/>
  <c r="I34" i="7"/>
  <c r="G34" i="7"/>
  <c r="E34" i="7"/>
  <c r="I33" i="7"/>
  <c r="G33" i="7"/>
  <c r="E33" i="7"/>
  <c r="I32" i="7"/>
  <c r="G32" i="7"/>
  <c r="E32" i="7"/>
  <c r="I31" i="7"/>
  <c r="G31" i="7"/>
  <c r="E31" i="7"/>
  <c r="I30" i="7"/>
  <c r="G30" i="7"/>
  <c r="E30" i="7"/>
  <c r="I29" i="7"/>
  <c r="G29" i="7"/>
  <c r="E29" i="7"/>
  <c r="I28" i="7"/>
  <c r="G28" i="7"/>
  <c r="E28" i="7"/>
  <c r="I27" i="7"/>
  <c r="G27" i="7"/>
  <c r="E27" i="7"/>
  <c r="I26" i="7"/>
  <c r="G26" i="7"/>
  <c r="E26" i="7"/>
  <c r="I25" i="7"/>
  <c r="G25" i="7"/>
  <c r="E25" i="7"/>
  <c r="I24" i="7"/>
  <c r="G24" i="7"/>
  <c r="E24" i="7"/>
  <c r="I23" i="7"/>
  <c r="G23" i="7"/>
  <c r="E23" i="7"/>
  <c r="I22" i="7"/>
  <c r="G22" i="7"/>
  <c r="E22" i="7"/>
  <c r="I21" i="7"/>
  <c r="G21" i="7"/>
  <c r="E21" i="7"/>
  <c r="I20" i="7"/>
  <c r="G20" i="7"/>
  <c r="E20" i="7"/>
  <c r="I19" i="7"/>
  <c r="G19" i="7"/>
  <c r="E19" i="7"/>
  <c r="I18" i="7"/>
  <c r="G18" i="7"/>
  <c r="E18" i="7"/>
  <c r="I17" i="7"/>
  <c r="G17" i="7"/>
  <c r="E17" i="7"/>
  <c r="I16" i="7"/>
  <c r="G16" i="7"/>
  <c r="E16" i="7"/>
  <c r="I15" i="7"/>
  <c r="G15" i="7"/>
  <c r="E15" i="7"/>
  <c r="I14" i="7"/>
  <c r="G14" i="7"/>
  <c r="E14" i="7"/>
  <c r="I13" i="7"/>
  <c r="G13" i="7"/>
  <c r="E13" i="7"/>
  <c r="I12" i="7"/>
  <c r="G12" i="7"/>
  <c r="E12" i="7"/>
  <c r="I11" i="7"/>
  <c r="G11" i="7"/>
  <c r="E11" i="7"/>
  <c r="I10" i="7"/>
  <c r="G10" i="7"/>
  <c r="E10" i="7"/>
  <c r="I9" i="7"/>
  <c r="G9" i="7"/>
  <c r="E9" i="7"/>
  <c r="I8" i="7"/>
  <c r="G8" i="7"/>
  <c r="E8" i="7"/>
  <c r="I7" i="7"/>
  <c r="G7" i="7"/>
  <c r="E7" i="7"/>
  <c r="I6" i="7"/>
  <c r="G6" i="7"/>
  <c r="E6" i="7"/>
  <c r="I5" i="7"/>
  <c r="G5" i="7"/>
  <c r="E5" i="7"/>
  <c r="I4" i="7"/>
  <c r="G4" i="7"/>
  <c r="E4" i="7"/>
  <c r="E66" i="7" s="1"/>
  <c r="A539" i="6"/>
  <c r="A538" i="6"/>
  <c r="A537" i="6"/>
  <c r="A536" i="6"/>
  <c r="A535" i="6"/>
  <c r="A534" i="6"/>
  <c r="A533" i="6"/>
  <c r="A532" i="6"/>
  <c r="A529" i="6"/>
  <c r="A528" i="6"/>
  <c r="A527" i="6"/>
  <c r="A526" i="6"/>
  <c r="A525" i="6"/>
  <c r="A524" i="6"/>
  <c r="A523" i="6"/>
  <c r="A522" i="6"/>
  <c r="A521" i="6"/>
  <c r="A518" i="6"/>
  <c r="A517" i="6"/>
  <c r="A516" i="6"/>
  <c r="A515" i="6"/>
  <c r="A514" i="6"/>
  <c r="A513" i="6"/>
  <c r="A512" i="6"/>
  <c r="A511" i="6"/>
  <c r="A510" i="6"/>
  <c r="A509" i="6"/>
  <c r="A506" i="6"/>
  <c r="A505" i="6"/>
  <c r="A504" i="6"/>
  <c r="A503" i="6"/>
  <c r="A502" i="6"/>
  <c r="A501" i="6"/>
  <c r="A500" i="6"/>
  <c r="A499" i="6"/>
  <c r="A498" i="6"/>
  <c r="A497" i="6"/>
  <c r="A496" i="6"/>
  <c r="A495" i="6"/>
  <c r="A494" i="6"/>
  <c r="A493" i="6"/>
  <c r="A492" i="6"/>
  <c r="A491" i="6"/>
  <c r="A490" i="6"/>
  <c r="A489" i="6"/>
  <c r="A488" i="6"/>
  <c r="A487" i="6"/>
  <c r="A484" i="6"/>
  <c r="A483" i="6"/>
  <c r="A482" i="6"/>
  <c r="A473" i="6"/>
  <c r="A472" i="6"/>
  <c r="A471" i="6"/>
  <c r="A469" i="6"/>
  <c r="A468" i="6"/>
  <c r="A467" i="6"/>
  <c r="A463" i="6"/>
  <c r="A462" i="6"/>
  <c r="A461" i="6"/>
  <c r="A460" i="6"/>
  <c r="A459" i="6"/>
  <c r="A458" i="6"/>
  <c r="A457" i="6"/>
  <c r="A452" i="6"/>
  <c r="A451" i="6"/>
  <c r="A450" i="6"/>
  <c r="A448" i="6"/>
  <c r="A447" i="6"/>
  <c r="A446" i="6"/>
  <c r="A445" i="6"/>
  <c r="A444" i="6"/>
  <c r="A443" i="6"/>
  <c r="A442" i="6"/>
  <c r="A441" i="6"/>
  <c r="A440" i="6"/>
  <c r="A439" i="6"/>
  <c r="A438" i="6"/>
  <c r="A437" i="6"/>
  <c r="A436" i="6"/>
  <c r="A435" i="6"/>
  <c r="A434" i="6"/>
  <c r="A133" i="6"/>
  <c r="A132" i="6"/>
  <c r="A131" i="6"/>
  <c r="A130" i="6"/>
  <c r="A129" i="6"/>
  <c r="A128" i="6"/>
  <c r="A127" i="6"/>
  <c r="A126" i="6"/>
  <c r="A125" i="6"/>
  <c r="A122" i="6"/>
  <c r="A121" i="6"/>
  <c r="A120" i="6"/>
  <c r="A119" i="6"/>
  <c r="A118" i="6"/>
  <c r="A117" i="6"/>
  <c r="A116" i="6"/>
  <c r="A110" i="6"/>
  <c r="R109" i="6"/>
  <c r="V109" i="6" s="1"/>
  <c r="A109" i="6"/>
  <c r="A108" i="6"/>
  <c r="A107" i="6"/>
  <c r="A106" i="6"/>
  <c r="A105" i="6"/>
  <c r="A104" i="6"/>
  <c r="A103" i="6"/>
  <c r="A102" i="6"/>
  <c r="A101" i="6"/>
  <c r="A97" i="6"/>
  <c r="A96" i="6"/>
  <c r="A95" i="6"/>
  <c r="I94" i="6"/>
  <c r="J94" i="6" s="1"/>
  <c r="K94" i="6" s="1"/>
  <c r="A94" i="6"/>
  <c r="K93" i="6"/>
  <c r="A93" i="6"/>
  <c r="A90" i="6"/>
  <c r="A89" i="6"/>
  <c r="I88" i="6"/>
  <c r="J88" i="6" s="1"/>
  <c r="K88" i="6" s="1"/>
  <c r="A88" i="6"/>
  <c r="I87" i="6"/>
  <c r="J87" i="6" s="1"/>
  <c r="K87" i="6" s="1"/>
  <c r="A87" i="6"/>
  <c r="I86" i="6"/>
  <c r="J86" i="6" s="1"/>
  <c r="K86" i="6" s="1"/>
  <c r="K89" i="6" s="1"/>
  <c r="A86" i="6"/>
  <c r="A82" i="6"/>
  <c r="A81" i="6"/>
  <c r="A80" i="6"/>
  <c r="A79" i="6"/>
  <c r="J78" i="6"/>
  <c r="J82" i="6" s="1"/>
  <c r="A78" i="6"/>
  <c r="A77" i="6"/>
  <c r="A76" i="6"/>
  <c r="A75" i="6"/>
  <c r="A74" i="6"/>
  <c r="A73" i="6"/>
  <c r="A72" i="6"/>
  <c r="A71" i="6"/>
  <c r="A70" i="6"/>
  <c r="A68" i="6"/>
  <c r="A67" i="6"/>
  <c r="A66" i="6"/>
  <c r="A65" i="6"/>
  <c r="A64" i="6"/>
  <c r="A63" i="6"/>
  <c r="A62" i="6"/>
  <c r="A61" i="6"/>
  <c r="A60" i="6"/>
  <c r="A58" i="6"/>
  <c r="A57" i="6"/>
  <c r="A56" i="6"/>
  <c r="A55" i="6"/>
  <c r="I53" i="6"/>
  <c r="A53" i="6"/>
  <c r="I52" i="6"/>
  <c r="A52" i="6"/>
  <c r="Q51" i="6"/>
  <c r="A51" i="6"/>
  <c r="A50" i="6"/>
  <c r="A48" i="6"/>
  <c r="A47" i="6"/>
  <c r="A46" i="6"/>
  <c r="A45" i="6"/>
  <c r="A44" i="6"/>
  <c r="A43" i="6"/>
  <c r="A42" i="6"/>
  <c r="A41" i="6"/>
  <c r="A40" i="6"/>
  <c r="A39" i="6"/>
  <c r="A38" i="6"/>
  <c r="A37" i="6"/>
  <c r="A34" i="6"/>
  <c r="A33" i="6"/>
  <c r="A32" i="6"/>
  <c r="A31" i="6"/>
  <c r="A30" i="6"/>
  <c r="A29" i="6"/>
  <c r="A26" i="6"/>
  <c r="A25" i="6"/>
  <c r="A24" i="6"/>
  <c r="A23" i="6"/>
  <c r="A22" i="6"/>
  <c r="A21" i="6"/>
  <c r="A20" i="6"/>
  <c r="A19" i="6"/>
  <c r="A18" i="6"/>
  <c r="A17" i="6"/>
  <c r="A16" i="6"/>
  <c r="A15" i="6"/>
  <c r="A14" i="6"/>
  <c r="A13" i="6"/>
  <c r="A12" i="6"/>
  <c r="A9" i="6"/>
  <c r="A8" i="6"/>
  <c r="A7" i="6"/>
  <c r="A6" i="6"/>
  <c r="A5" i="6"/>
  <c r="A4" i="6"/>
  <c r="A3" i="6"/>
  <c r="A2" i="6"/>
  <c r="H1458" i="4"/>
  <c r="G1444" i="4"/>
  <c r="H1444" i="4" s="1"/>
  <c r="G1443" i="4"/>
  <c r="F1443" i="4"/>
  <c r="H1443" i="4" s="1"/>
  <c r="J1443" i="4" s="1"/>
  <c r="G1442" i="4"/>
  <c r="H1442" i="4" s="1"/>
  <c r="G1440" i="4"/>
  <c r="H1440" i="4" s="1"/>
  <c r="J1440" i="4" s="1"/>
  <c r="G1439" i="4"/>
  <c r="F1439" i="4"/>
  <c r="G1438" i="4"/>
  <c r="H1438" i="4" s="1"/>
  <c r="G1436" i="4"/>
  <c r="H1436" i="4" s="1"/>
  <c r="G1425" i="4"/>
  <c r="G1424" i="4"/>
  <c r="G1423" i="4"/>
  <c r="H1423" i="4" s="1"/>
  <c r="F1422" i="4"/>
  <c r="G1421" i="4"/>
  <c r="H1421" i="4" s="1"/>
  <c r="G1419" i="4"/>
  <c r="H1419" i="4" s="1"/>
  <c r="J1419" i="4" s="1"/>
  <c r="G1418" i="4"/>
  <c r="H1418" i="4" s="1"/>
  <c r="H1417" i="4"/>
  <c r="G1416" i="4"/>
  <c r="H1416" i="4" s="1"/>
  <c r="H1415" i="4"/>
  <c r="G1405" i="4"/>
  <c r="G1404" i="4"/>
  <c r="G1403" i="4"/>
  <c r="H1403" i="4" s="1"/>
  <c r="F1402" i="4"/>
  <c r="G1399" i="4"/>
  <c r="H1399" i="4" s="1"/>
  <c r="K1399" i="4" s="1"/>
  <c r="G1398" i="4"/>
  <c r="H1398" i="4" s="1"/>
  <c r="K1387" i="4"/>
  <c r="J1387" i="4"/>
  <c r="I1387" i="4"/>
  <c r="B1384" i="4"/>
  <c r="U1379" i="4"/>
  <c r="T1379" i="4"/>
  <c r="AA1378" i="4"/>
  <c r="AD1378" i="4" s="1"/>
  <c r="X1378" i="4"/>
  <c r="U1378" i="4"/>
  <c r="T1378" i="4"/>
  <c r="H1377" i="4"/>
  <c r="I1377" i="4" s="1"/>
  <c r="G1376" i="4"/>
  <c r="H1376" i="4" s="1"/>
  <c r="U1374" i="4"/>
  <c r="T1374" i="4"/>
  <c r="X1373" i="4"/>
  <c r="AA1373" i="4" s="1"/>
  <c r="AD1373" i="4" s="1"/>
  <c r="U1373" i="4"/>
  <c r="T1373" i="4"/>
  <c r="F1373" i="4"/>
  <c r="H1373" i="4" s="1"/>
  <c r="U1372" i="4"/>
  <c r="T1372" i="4"/>
  <c r="U1371" i="4"/>
  <c r="T1371" i="4"/>
  <c r="G1371" i="4"/>
  <c r="U1370" i="4"/>
  <c r="T1370" i="4"/>
  <c r="G1370" i="4"/>
  <c r="H1370" i="4" s="1"/>
  <c r="U1369" i="4"/>
  <c r="T1369" i="4"/>
  <c r="F1369" i="4"/>
  <c r="U1368" i="4"/>
  <c r="T1368" i="4"/>
  <c r="G1368" i="4"/>
  <c r="H1368" i="4" s="1"/>
  <c r="U1367" i="4"/>
  <c r="T1367" i="4"/>
  <c r="G1367" i="4"/>
  <c r="H1367" i="4" s="1"/>
  <c r="U1366" i="4"/>
  <c r="T1366" i="4"/>
  <c r="U1365" i="4"/>
  <c r="T1365" i="4"/>
  <c r="F1365" i="4"/>
  <c r="U1364" i="4"/>
  <c r="T1364" i="4"/>
  <c r="F1364" i="4"/>
  <c r="U1363" i="4"/>
  <c r="T1363" i="4"/>
  <c r="H1347" i="4"/>
  <c r="G1347" i="4"/>
  <c r="F1347" i="4"/>
  <c r="H1346" i="4"/>
  <c r="G1346" i="4"/>
  <c r="F1346" i="4"/>
  <c r="H1345" i="4"/>
  <c r="G1345" i="4"/>
  <c r="F1345" i="4"/>
  <c r="H1344" i="4"/>
  <c r="G1344" i="4"/>
  <c r="F1344" i="4"/>
  <c r="H1343" i="4"/>
  <c r="G1343" i="4"/>
  <c r="F1343" i="4"/>
  <c r="H1342" i="4"/>
  <c r="G1342" i="4"/>
  <c r="F1342" i="4"/>
  <c r="H1341" i="4"/>
  <c r="G1341" i="4"/>
  <c r="F1341" i="4"/>
  <c r="H1340" i="4"/>
  <c r="G1340" i="4"/>
  <c r="F1340" i="4"/>
  <c r="H1339" i="4"/>
  <c r="G1339" i="4"/>
  <c r="F1339" i="4"/>
  <c r="H1338" i="4"/>
  <c r="G1338" i="4"/>
  <c r="F1338" i="4"/>
  <c r="H1337" i="4"/>
  <c r="G1337" i="4"/>
  <c r="F1337" i="4"/>
  <c r="H1336" i="4"/>
  <c r="G1336" i="4"/>
  <c r="F1336" i="4"/>
  <c r="H1332" i="4"/>
  <c r="G1332" i="4"/>
  <c r="F1332" i="4"/>
  <c r="H1331" i="4"/>
  <c r="G1331" i="4"/>
  <c r="F1331" i="4"/>
  <c r="H1330" i="4"/>
  <c r="G1330" i="4"/>
  <c r="F1330" i="4"/>
  <c r="H1329" i="4"/>
  <c r="G1329" i="4"/>
  <c r="F1329" i="4"/>
  <c r="H1328" i="4"/>
  <c r="G1328" i="4"/>
  <c r="F1328" i="4"/>
  <c r="AF1325" i="4"/>
  <c r="AD1325" i="4"/>
  <c r="AF1324" i="4"/>
  <c r="X1324" i="4"/>
  <c r="AA1324" i="4" s="1"/>
  <c r="AD1324" i="4" s="1"/>
  <c r="X1316" i="4"/>
  <c r="AA1316" i="4" s="1"/>
  <c r="AD1316" i="4" s="1"/>
  <c r="U1316" i="4"/>
  <c r="T1316" i="4"/>
  <c r="G1316" i="4"/>
  <c r="F1316" i="4"/>
  <c r="B1314" i="4"/>
  <c r="X1309" i="4"/>
  <c r="X1308" i="4"/>
  <c r="AA1308" i="4" s="1"/>
  <c r="J1308" i="4"/>
  <c r="O1308" i="4" s="1"/>
  <c r="S1308" i="4" s="1"/>
  <c r="I1308" i="4"/>
  <c r="X1307" i="4"/>
  <c r="J1307" i="4"/>
  <c r="AA1307" i="4" s="1"/>
  <c r="AB1307" i="4" s="1"/>
  <c r="I1307" i="4"/>
  <c r="AD1306" i="4"/>
  <c r="AA1306" i="4"/>
  <c r="X1306" i="4"/>
  <c r="J1306" i="4"/>
  <c r="I1306" i="4"/>
  <c r="Y1306" i="4" s="1"/>
  <c r="Z1306" i="4" s="1"/>
  <c r="AD1305" i="4"/>
  <c r="AA1305" i="4"/>
  <c r="X1305" i="4"/>
  <c r="J1305" i="4"/>
  <c r="O1305" i="4" s="1"/>
  <c r="S1305" i="4" s="1"/>
  <c r="I1305" i="4"/>
  <c r="AD1304" i="4"/>
  <c r="AA1304" i="4"/>
  <c r="X1304" i="4"/>
  <c r="J1304" i="4"/>
  <c r="I1304" i="4"/>
  <c r="AD1303" i="4"/>
  <c r="AA1303" i="4"/>
  <c r="X1303" i="4"/>
  <c r="J1303" i="4"/>
  <c r="O1303" i="4" s="1"/>
  <c r="S1303" i="4" s="1"/>
  <c r="I1303" i="4"/>
  <c r="AD1302" i="4"/>
  <c r="AA1302" i="4"/>
  <c r="X1302" i="4"/>
  <c r="J1302" i="4"/>
  <c r="I1302" i="4"/>
  <c r="Y1302" i="4" s="1"/>
  <c r="Z1302" i="4" s="1"/>
  <c r="AD1301" i="4"/>
  <c r="AA1301" i="4"/>
  <c r="X1301" i="4"/>
  <c r="J1301" i="4"/>
  <c r="I1301" i="4"/>
  <c r="AD1300" i="4"/>
  <c r="AA1300" i="4"/>
  <c r="X1300" i="4"/>
  <c r="J1300" i="4"/>
  <c r="I1300" i="4"/>
  <c r="AD1299" i="4"/>
  <c r="AA1299" i="4"/>
  <c r="X1299" i="4"/>
  <c r="J1299" i="4"/>
  <c r="I1299" i="4"/>
  <c r="Y1299" i="4" s="1"/>
  <c r="AD1298" i="4"/>
  <c r="AA1298" i="4"/>
  <c r="X1298" i="4"/>
  <c r="J1298" i="4"/>
  <c r="I1298" i="4"/>
  <c r="Y1298" i="4" s="1"/>
  <c r="Z1298" i="4" s="1"/>
  <c r="AD1297" i="4"/>
  <c r="AA1297" i="4"/>
  <c r="X1297" i="4"/>
  <c r="J1297" i="4"/>
  <c r="I1297" i="4"/>
  <c r="AD1296" i="4"/>
  <c r="AA1296" i="4"/>
  <c r="X1296" i="4"/>
  <c r="J1296" i="4"/>
  <c r="I1296" i="4"/>
  <c r="AD1295" i="4"/>
  <c r="AA1295" i="4"/>
  <c r="X1295" i="4"/>
  <c r="J1295" i="4"/>
  <c r="I1295" i="4"/>
  <c r="B1293" i="4"/>
  <c r="X1288" i="4"/>
  <c r="AA1288" i="4" s="1"/>
  <c r="AD1288" i="4" s="1"/>
  <c r="X1287" i="4"/>
  <c r="AA1287" i="4" s="1"/>
  <c r="AD1287" i="4" s="1"/>
  <c r="L1287" i="4"/>
  <c r="AF1287" i="4" s="1"/>
  <c r="K1287" i="4"/>
  <c r="AC1287" i="4" s="1"/>
  <c r="AB1287" i="4" s="1"/>
  <c r="J1287" i="4"/>
  <c r="Z1287" i="4" s="1"/>
  <c r="Y1287" i="4" s="1"/>
  <c r="X1286" i="4"/>
  <c r="AA1286" i="4" s="1"/>
  <c r="AD1286" i="4" s="1"/>
  <c r="L1286" i="4"/>
  <c r="AF1286" i="4" s="1"/>
  <c r="K1286" i="4"/>
  <c r="AC1286" i="4" s="1"/>
  <c r="AB1286" i="4" s="1"/>
  <c r="J1286" i="4"/>
  <c r="Z1286" i="4" s="1"/>
  <c r="X1285" i="4"/>
  <c r="AA1285" i="4" s="1"/>
  <c r="AD1285" i="4" s="1"/>
  <c r="L1285" i="4"/>
  <c r="AF1285" i="4" s="1"/>
  <c r="K1285" i="4"/>
  <c r="AC1285" i="4" s="1"/>
  <c r="J1285" i="4"/>
  <c r="Z1285" i="4" s="1"/>
  <c r="Y1285" i="4" s="1"/>
  <c r="X1284" i="4"/>
  <c r="AA1284" i="4" s="1"/>
  <c r="AD1284" i="4" s="1"/>
  <c r="L1284" i="4"/>
  <c r="AF1284" i="4" s="1"/>
  <c r="AE1284" i="4" s="1"/>
  <c r="K1284" i="4"/>
  <c r="AC1284" i="4" s="1"/>
  <c r="J1284" i="4"/>
  <c r="Z1284" i="4" s="1"/>
  <c r="Y1284" i="4" s="1"/>
  <c r="X1283" i="4"/>
  <c r="AA1283" i="4" s="1"/>
  <c r="AD1283" i="4" s="1"/>
  <c r="L1283" i="4"/>
  <c r="K1283" i="4"/>
  <c r="J1283" i="4"/>
  <c r="B1281" i="4"/>
  <c r="I1278" i="4"/>
  <c r="X1276" i="4"/>
  <c r="X1266" i="4"/>
  <c r="G1266" i="4"/>
  <c r="H1266" i="4" s="1"/>
  <c r="Z1266" i="4" s="1"/>
  <c r="B1263" i="4"/>
  <c r="I1261" i="4"/>
  <c r="X1259" i="4"/>
  <c r="X1253" i="4"/>
  <c r="G1253" i="4"/>
  <c r="H1253" i="4" s="1"/>
  <c r="Z1253" i="4" s="1"/>
  <c r="B1250" i="4"/>
  <c r="I1246" i="4"/>
  <c r="X1244" i="4"/>
  <c r="X1241" i="4"/>
  <c r="G1241" i="4"/>
  <c r="H1241" i="4" s="1"/>
  <c r="Z1241" i="4" s="1"/>
  <c r="Y1241" i="4" s="1"/>
  <c r="B1238" i="4"/>
  <c r="P1234" i="4"/>
  <c r="F1234" i="4"/>
  <c r="F1233" i="4"/>
  <c r="F1232" i="4"/>
  <c r="L1231" i="4"/>
  <c r="K1231" i="4"/>
  <c r="J1231" i="4"/>
  <c r="L1230" i="4"/>
  <c r="K1230" i="4"/>
  <c r="J1230" i="4"/>
  <c r="L1229" i="4"/>
  <c r="K1229" i="4"/>
  <c r="J1229" i="4"/>
  <c r="L1228" i="4"/>
  <c r="K1228" i="4"/>
  <c r="J1228" i="4"/>
  <c r="L1227" i="4"/>
  <c r="K1227" i="4"/>
  <c r="J1227" i="4"/>
  <c r="L1226" i="4"/>
  <c r="K1226" i="4"/>
  <c r="J1226" i="4"/>
  <c r="L1225" i="4"/>
  <c r="K1225" i="4"/>
  <c r="J1225" i="4"/>
  <c r="L1224" i="4"/>
  <c r="K1224" i="4"/>
  <c r="J1224" i="4"/>
  <c r="L1223" i="4"/>
  <c r="K1223" i="4"/>
  <c r="J1223" i="4"/>
  <c r="L1222" i="4"/>
  <c r="K1222" i="4"/>
  <c r="J1222" i="4"/>
  <c r="L1221" i="4"/>
  <c r="K1221" i="4"/>
  <c r="J1221" i="4"/>
  <c r="L1220" i="4"/>
  <c r="K1220" i="4"/>
  <c r="J1220" i="4"/>
  <c r="L1219" i="4"/>
  <c r="K1219" i="4"/>
  <c r="J1219" i="4"/>
  <c r="L1218" i="4"/>
  <c r="K1218" i="4"/>
  <c r="J1218" i="4"/>
  <c r="L1217" i="4"/>
  <c r="K1217" i="4"/>
  <c r="J1217" i="4"/>
  <c r="L1216" i="4"/>
  <c r="K1216" i="4"/>
  <c r="J1216" i="4"/>
  <c r="L1215" i="4"/>
  <c r="K1215" i="4"/>
  <c r="J1215" i="4"/>
  <c r="B1213" i="4"/>
  <c r="X1209" i="4"/>
  <c r="X1208" i="4"/>
  <c r="G1208" i="4"/>
  <c r="H1208" i="4" s="1"/>
  <c r="Z1208" i="4" s="1"/>
  <c r="Y1208" i="4" s="1"/>
  <c r="B1203" i="4"/>
  <c r="I1199" i="4"/>
  <c r="N1199" i="4" s="1"/>
  <c r="X1198" i="4"/>
  <c r="AA1198" i="4" s="1"/>
  <c r="AD1198" i="4" s="1"/>
  <c r="I1198" i="4"/>
  <c r="N1198" i="4" s="1"/>
  <c r="X1197" i="4"/>
  <c r="AA1197" i="4" s="1"/>
  <c r="AD1197" i="4" s="1"/>
  <c r="N1197" i="4"/>
  <c r="R1197" i="4" s="1"/>
  <c r="AF1197" i="4" s="1"/>
  <c r="I1197" i="4"/>
  <c r="M1197" i="4" s="1"/>
  <c r="AC1197" i="4" s="1"/>
  <c r="D1197" i="4"/>
  <c r="H1197" i="4" s="1"/>
  <c r="Z1197" i="4" s="1"/>
  <c r="X1196" i="4"/>
  <c r="AA1196" i="4" s="1"/>
  <c r="AD1196" i="4" s="1"/>
  <c r="R1196" i="4"/>
  <c r="AF1196" i="4" s="1"/>
  <c r="M1196" i="4"/>
  <c r="AC1196" i="4" s="1"/>
  <c r="H1196" i="4"/>
  <c r="Z1196" i="4" s="1"/>
  <c r="R1195" i="4"/>
  <c r="AF1195" i="4" s="1"/>
  <c r="K1195" i="4"/>
  <c r="F1195" i="4"/>
  <c r="AF1194" i="4"/>
  <c r="AC1194" i="4"/>
  <c r="D1194" i="4"/>
  <c r="X1193" i="4"/>
  <c r="AA1193" i="4" s="1"/>
  <c r="AD1193" i="4" s="1"/>
  <c r="P1193" i="4"/>
  <c r="N1193" i="4"/>
  <c r="R1193" i="4" s="1"/>
  <c r="AF1193" i="4" s="1"/>
  <c r="K1193" i="4"/>
  <c r="I1193" i="4"/>
  <c r="M1193" i="4" s="1"/>
  <c r="AC1193" i="4" s="1"/>
  <c r="F1193" i="4"/>
  <c r="D1193" i="4"/>
  <c r="H1193" i="4" s="1"/>
  <c r="Z1193" i="4" s="1"/>
  <c r="Y1193" i="4" s="1"/>
  <c r="AF1191" i="4"/>
  <c r="X1191" i="4"/>
  <c r="AA1191" i="4" s="1"/>
  <c r="AD1191" i="4" s="1"/>
  <c r="M1191" i="4"/>
  <c r="AC1191" i="4" s="1"/>
  <c r="H1191" i="4"/>
  <c r="Z1191" i="4" s="1"/>
  <c r="AF1186" i="4"/>
  <c r="AC1186" i="4"/>
  <c r="U1186" i="4"/>
  <c r="T1186" i="4"/>
  <c r="H1186" i="4"/>
  <c r="F1186" i="4"/>
  <c r="Y1186" i="4" s="1"/>
  <c r="B1184" i="4"/>
  <c r="I1180" i="4"/>
  <c r="N1180" i="4" s="1"/>
  <c r="X1179" i="4"/>
  <c r="AA1179" i="4" s="1"/>
  <c r="AD1179" i="4" s="1"/>
  <c r="I1179" i="4"/>
  <c r="N1179" i="4" s="1"/>
  <c r="X1178" i="4"/>
  <c r="AA1178" i="4" s="1"/>
  <c r="AD1178" i="4" s="1"/>
  <c r="R1178" i="4"/>
  <c r="AF1178" i="4" s="1"/>
  <c r="M1178" i="4"/>
  <c r="AC1178" i="4" s="1"/>
  <c r="AB1178" i="4" s="1"/>
  <c r="H1178" i="4"/>
  <c r="Z1178" i="4" s="1"/>
  <c r="Y1178" i="4" s="1"/>
  <c r="X1177" i="4"/>
  <c r="AA1177" i="4" s="1"/>
  <c r="AD1177" i="4" s="1"/>
  <c r="N1177" i="4"/>
  <c r="R1177" i="4" s="1"/>
  <c r="AF1177" i="4" s="1"/>
  <c r="I1177" i="4"/>
  <c r="M1177" i="4" s="1"/>
  <c r="AC1177" i="4" s="1"/>
  <c r="D1177" i="4"/>
  <c r="H1177" i="4" s="1"/>
  <c r="Z1177" i="4" s="1"/>
  <c r="B1174" i="4"/>
  <c r="X1170" i="4"/>
  <c r="AA1170" i="4" s="1"/>
  <c r="AD1170" i="4" s="1"/>
  <c r="X1169" i="4"/>
  <c r="AA1169" i="4" s="1"/>
  <c r="AD1169" i="4" s="1"/>
  <c r="E1169" i="4"/>
  <c r="X1168" i="4"/>
  <c r="AA1168" i="4" s="1"/>
  <c r="AD1168" i="4" s="1"/>
  <c r="E1168" i="4"/>
  <c r="X1167" i="4"/>
  <c r="AA1167" i="4" s="1"/>
  <c r="AD1167" i="4" s="1"/>
  <c r="E1167" i="4"/>
  <c r="B1164" i="4"/>
  <c r="I1160" i="4"/>
  <c r="N1160" i="4" s="1"/>
  <c r="X1159" i="4"/>
  <c r="AA1159" i="4" s="1"/>
  <c r="AD1159" i="4" s="1"/>
  <c r="I1159" i="4"/>
  <c r="N1159" i="4" s="1"/>
  <c r="X1158" i="4"/>
  <c r="AA1158" i="4" s="1"/>
  <c r="AD1158" i="4" s="1"/>
  <c r="R1158" i="4"/>
  <c r="AF1158" i="4" s="1"/>
  <c r="M1158" i="4"/>
  <c r="D1158" i="4"/>
  <c r="H1158" i="4" s="1"/>
  <c r="R1157" i="4"/>
  <c r="AF1157" i="4" s="1"/>
  <c r="M1157" i="4"/>
  <c r="B1155" i="4"/>
  <c r="X1150" i="4"/>
  <c r="H1149" i="4"/>
  <c r="X1148" i="4"/>
  <c r="G1148" i="4"/>
  <c r="H1148" i="4" s="1"/>
  <c r="Z1148" i="4" s="1"/>
  <c r="H1138" i="4"/>
  <c r="H1137" i="4"/>
  <c r="H1136" i="4"/>
  <c r="H1135" i="4"/>
  <c r="H1134" i="4"/>
  <c r="H1133" i="4"/>
  <c r="H1140" i="4" s="1"/>
  <c r="L1127" i="4"/>
  <c r="K1127" i="4"/>
  <c r="J1127" i="4"/>
  <c r="L1126" i="4"/>
  <c r="K1126" i="4"/>
  <c r="J1126" i="4"/>
  <c r="L1125" i="4"/>
  <c r="K1125" i="4"/>
  <c r="J1125" i="4"/>
  <c r="L1124" i="4"/>
  <c r="K1124" i="4"/>
  <c r="J1124" i="4"/>
  <c r="L1123" i="4"/>
  <c r="K1123" i="4"/>
  <c r="J1123" i="4"/>
  <c r="L1122" i="4"/>
  <c r="K1122" i="4"/>
  <c r="J1122" i="4"/>
  <c r="L1121" i="4"/>
  <c r="K1121" i="4"/>
  <c r="J1121" i="4"/>
  <c r="L1120" i="4"/>
  <c r="K1120" i="4"/>
  <c r="J1120" i="4"/>
  <c r="L1119" i="4"/>
  <c r="K1119" i="4"/>
  <c r="J1119" i="4"/>
  <c r="L1118" i="4"/>
  <c r="K1118" i="4"/>
  <c r="J1118" i="4"/>
  <c r="L1117" i="4"/>
  <c r="K1117" i="4"/>
  <c r="J1117" i="4"/>
  <c r="L1116" i="4"/>
  <c r="K1116" i="4"/>
  <c r="J1116" i="4"/>
  <c r="L1115" i="4"/>
  <c r="K1115" i="4"/>
  <c r="K1128" i="4" s="1"/>
  <c r="J1115" i="4"/>
  <c r="B1113" i="4"/>
  <c r="X1109" i="4"/>
  <c r="AA1109" i="4" s="1"/>
  <c r="AD1109" i="4" s="1"/>
  <c r="X1108" i="4"/>
  <c r="AA1108" i="4" s="1"/>
  <c r="AD1108" i="4" s="1"/>
  <c r="K1108" i="4"/>
  <c r="AF1108" i="4" s="1"/>
  <c r="AE1108" i="4" s="1"/>
  <c r="J1108" i="4"/>
  <c r="AC1108" i="4" s="1"/>
  <c r="AB1108" i="4" s="1"/>
  <c r="I1108" i="4"/>
  <c r="Z1108" i="4" s="1"/>
  <c r="Y1108" i="4" s="1"/>
  <c r="X1106" i="4"/>
  <c r="AA1106" i="4" s="1"/>
  <c r="AD1106" i="4" s="1"/>
  <c r="K1106" i="4"/>
  <c r="AF1106" i="4" s="1"/>
  <c r="AE1106" i="4" s="1"/>
  <c r="J1106" i="4"/>
  <c r="AC1106" i="4" s="1"/>
  <c r="AB1106" i="4" s="1"/>
  <c r="I1106" i="4"/>
  <c r="Z1106" i="4" s="1"/>
  <c r="Y1106" i="4" s="1"/>
  <c r="K1105" i="4"/>
  <c r="J1105" i="4"/>
  <c r="I1105" i="4"/>
  <c r="K1104" i="4"/>
  <c r="J1104" i="4"/>
  <c r="I1104" i="4"/>
  <c r="K1103" i="4"/>
  <c r="J1103" i="4"/>
  <c r="I1103" i="4"/>
  <c r="K1102" i="4"/>
  <c r="J1102" i="4"/>
  <c r="I1102" i="4"/>
  <c r="X1100" i="4"/>
  <c r="AA1100" i="4" s="1"/>
  <c r="AD1100" i="4" s="1"/>
  <c r="K1100" i="4"/>
  <c r="AF1100" i="4" s="1"/>
  <c r="J1100" i="4"/>
  <c r="AC1100" i="4" s="1"/>
  <c r="I1100" i="4"/>
  <c r="Z1100" i="4" s="1"/>
  <c r="Y1100" i="4" s="1"/>
  <c r="H1097" i="4"/>
  <c r="B1097" i="4"/>
  <c r="X1093" i="4"/>
  <c r="X1092" i="4"/>
  <c r="H1092" i="4"/>
  <c r="Z1092" i="4" s="1"/>
  <c r="X1090" i="4"/>
  <c r="G1090" i="4"/>
  <c r="H1090" i="4" s="1"/>
  <c r="Z1090" i="4" s="1"/>
  <c r="Y1090" i="4" s="1"/>
  <c r="X1088" i="4"/>
  <c r="G1088" i="4"/>
  <c r="H1088" i="4" s="1"/>
  <c r="Z1088" i="4" s="1"/>
  <c r="X1087" i="4"/>
  <c r="G1087" i="4"/>
  <c r="H1087" i="4" s="1"/>
  <c r="Z1087" i="4" s="1"/>
  <c r="Y1087" i="4" s="1"/>
  <c r="X1084" i="4"/>
  <c r="G1084" i="4"/>
  <c r="H1084" i="4" s="1"/>
  <c r="Z1084" i="4" s="1"/>
  <c r="X1083" i="4"/>
  <c r="H1083" i="4"/>
  <c r="Z1083" i="4" s="1"/>
  <c r="Y1083" i="4" s="1"/>
  <c r="X1081" i="4"/>
  <c r="G1081" i="4"/>
  <c r="H1081" i="4" s="1"/>
  <c r="Z1081" i="4" s="1"/>
  <c r="B1078" i="4"/>
  <c r="AA1073" i="4"/>
  <c r="X1073" i="4"/>
  <c r="AA1072" i="4"/>
  <c r="X1072" i="4"/>
  <c r="I1072" i="4"/>
  <c r="G1072" i="4"/>
  <c r="F1072" i="4"/>
  <c r="AA1069" i="4"/>
  <c r="X1069" i="4"/>
  <c r="I1069" i="4"/>
  <c r="J1069" i="4" s="1"/>
  <c r="Z1069" i="4" s="1"/>
  <c r="Y1069" i="4" s="1"/>
  <c r="G1069" i="4"/>
  <c r="H1069" i="4" s="1"/>
  <c r="AC1069" i="4" s="1"/>
  <c r="AB1069" i="4" s="1"/>
  <c r="AA1065" i="4"/>
  <c r="G1065" i="4"/>
  <c r="H1065" i="4" s="1"/>
  <c r="AC1065" i="4" s="1"/>
  <c r="AB1065" i="4" s="1"/>
  <c r="B1062" i="4"/>
  <c r="X1057" i="4"/>
  <c r="X1056" i="4"/>
  <c r="G1056" i="4"/>
  <c r="H1056" i="4" s="1"/>
  <c r="Z1056" i="4" s="1"/>
  <c r="Y1056" i="4" s="1"/>
  <c r="X1055" i="4"/>
  <c r="G1055" i="4"/>
  <c r="H1055" i="4" s="1"/>
  <c r="Z1055" i="4" s="1"/>
  <c r="X1054" i="4"/>
  <c r="G1054" i="4"/>
  <c r="H1054" i="4" s="1"/>
  <c r="Z1054" i="4" s="1"/>
  <c r="Y1054" i="4" s="1"/>
  <c r="X1053" i="4"/>
  <c r="G1053" i="4"/>
  <c r="F1053" i="4"/>
  <c r="H1053" i="4" s="1"/>
  <c r="Z1053" i="4" s="1"/>
  <c r="X1052" i="4"/>
  <c r="H1052" i="4"/>
  <c r="Z1052" i="4" s="1"/>
  <c r="Y1052" i="4" s="1"/>
  <c r="B1046" i="4"/>
  <c r="X1041" i="4"/>
  <c r="X1038" i="4"/>
  <c r="G1038" i="4"/>
  <c r="H1038" i="4" s="1"/>
  <c r="Z1038" i="4" s="1"/>
  <c r="X1036" i="4"/>
  <c r="G1036" i="4"/>
  <c r="H1036" i="4" s="1"/>
  <c r="Z1036" i="4" s="1"/>
  <c r="Y1036" i="4" s="1"/>
  <c r="X1035" i="4"/>
  <c r="G1035" i="4"/>
  <c r="H1035" i="4" s="1"/>
  <c r="Z1035" i="4" s="1"/>
  <c r="Z1034" i="4"/>
  <c r="X1034" i="4"/>
  <c r="Y1034" i="4" s="1"/>
  <c r="B1032" i="4"/>
  <c r="X1028" i="4"/>
  <c r="X1027" i="4"/>
  <c r="G1027" i="4"/>
  <c r="H1027" i="4" s="1"/>
  <c r="Z1027" i="4" s="1"/>
  <c r="Y1027" i="4" s="1"/>
  <c r="X1026" i="4"/>
  <c r="G1026" i="4"/>
  <c r="H1026" i="4" s="1"/>
  <c r="Z1026" i="4" s="1"/>
  <c r="Y1026" i="4" s="1"/>
  <c r="X1023" i="4"/>
  <c r="G1023" i="4"/>
  <c r="F1023" i="4"/>
  <c r="B1021" i="4"/>
  <c r="X1017" i="4"/>
  <c r="X1010" i="4"/>
  <c r="G1010" i="4"/>
  <c r="H1010" i="4" s="1"/>
  <c r="Z1010" i="4" s="1"/>
  <c r="Y1010" i="4" s="1"/>
  <c r="B1008" i="4"/>
  <c r="X1004" i="4"/>
  <c r="X996" i="4"/>
  <c r="H996" i="4"/>
  <c r="Z996" i="4" s="1"/>
  <c r="Y996" i="4" s="1"/>
  <c r="B994" i="4"/>
  <c r="X990" i="4"/>
  <c r="G989" i="4"/>
  <c r="X988" i="4"/>
  <c r="U988" i="4"/>
  <c r="T988" i="4"/>
  <c r="G988" i="4"/>
  <c r="F988" i="4"/>
  <c r="H988" i="4" s="1"/>
  <c r="Z988" i="4" s="1"/>
  <c r="Y988" i="4" s="1"/>
  <c r="Z986" i="4"/>
  <c r="X986" i="4"/>
  <c r="Z985" i="4"/>
  <c r="Z984" i="4"/>
  <c r="X984" i="4"/>
  <c r="X983" i="4"/>
  <c r="G983" i="4"/>
  <c r="F983" i="4"/>
  <c r="H983" i="4" s="1"/>
  <c r="Z983" i="4" s="1"/>
  <c r="Y983" i="4" s="1"/>
  <c r="X980" i="4"/>
  <c r="G980" i="4"/>
  <c r="H980" i="4" s="1"/>
  <c r="Z980" i="4" s="1"/>
  <c r="X979" i="4"/>
  <c r="G979" i="4"/>
  <c r="H979" i="4" s="1"/>
  <c r="B977" i="4"/>
  <c r="X973" i="4"/>
  <c r="X971" i="4"/>
  <c r="G971" i="4"/>
  <c r="H971" i="4" s="1"/>
  <c r="Z971" i="4" s="1"/>
  <c r="X970" i="4"/>
  <c r="H970" i="4"/>
  <c r="Z970" i="4" s="1"/>
  <c r="B965" i="4"/>
  <c r="U961" i="4"/>
  <c r="T961" i="4"/>
  <c r="X960" i="4"/>
  <c r="U960" i="4"/>
  <c r="T960" i="4"/>
  <c r="U959" i="4"/>
  <c r="T959" i="4"/>
  <c r="G959" i="4"/>
  <c r="U958" i="4"/>
  <c r="T958" i="4"/>
  <c r="X957" i="4"/>
  <c r="U957" i="4"/>
  <c r="T957" i="4"/>
  <c r="G957" i="4"/>
  <c r="H957" i="4" s="1"/>
  <c r="Z957" i="4" s="1"/>
  <c r="Y957" i="4" s="1"/>
  <c r="U956" i="4"/>
  <c r="T956" i="4"/>
  <c r="X950" i="4"/>
  <c r="H950" i="4"/>
  <c r="Z950" i="4" s="1"/>
  <c r="Y950" i="4" s="1"/>
  <c r="X949" i="4"/>
  <c r="H949" i="4"/>
  <c r="Z949" i="4" s="1"/>
  <c r="Y949" i="4" s="1"/>
  <c r="X948" i="4"/>
  <c r="H948" i="4"/>
  <c r="Z948" i="4" s="1"/>
  <c r="AD943" i="4"/>
  <c r="AA943" i="4"/>
  <c r="X943" i="4"/>
  <c r="E943" i="4"/>
  <c r="AD940" i="4"/>
  <c r="AA940" i="4"/>
  <c r="X940" i="4"/>
  <c r="H940" i="4"/>
  <c r="G940" i="4"/>
  <c r="F940" i="4"/>
  <c r="E940" i="4"/>
  <c r="AD939" i="4"/>
  <c r="AA939" i="4"/>
  <c r="X939" i="4"/>
  <c r="AD938" i="4"/>
  <c r="AA938" i="4"/>
  <c r="X938" i="4"/>
  <c r="E938" i="4"/>
  <c r="K938" i="4" s="1"/>
  <c r="AF938" i="4" s="1"/>
  <c r="AD937" i="4"/>
  <c r="AA937" i="4"/>
  <c r="X937" i="4"/>
  <c r="E937" i="4"/>
  <c r="B935" i="4"/>
  <c r="B925" i="4"/>
  <c r="H920" i="4"/>
  <c r="G920" i="4"/>
  <c r="H919" i="4"/>
  <c r="G919" i="4"/>
  <c r="H918" i="4"/>
  <c r="G918" i="4"/>
  <c r="H917" i="4"/>
  <c r="G917" i="4"/>
  <c r="H916" i="4"/>
  <c r="G916" i="4"/>
  <c r="H915" i="4"/>
  <c r="G915" i="4"/>
  <c r="H914" i="4"/>
  <c r="G914" i="4"/>
  <c r="H913" i="4"/>
  <c r="G913" i="4"/>
  <c r="H912" i="4"/>
  <c r="G912" i="4"/>
  <c r="H911" i="4"/>
  <c r="G911" i="4"/>
  <c r="H910" i="4"/>
  <c r="G910" i="4"/>
  <c r="H909" i="4"/>
  <c r="G909" i="4"/>
  <c r="H908" i="4"/>
  <c r="G908" i="4"/>
  <c r="L903" i="4"/>
  <c r="L902" i="4"/>
  <c r="L904" i="4" s="1"/>
  <c r="X876" i="4"/>
  <c r="K876" i="4"/>
  <c r="AF876" i="4" s="1"/>
  <c r="J876" i="4"/>
  <c r="AC876" i="4" s="1"/>
  <c r="F876" i="4"/>
  <c r="I876" i="4" s="1"/>
  <c r="Z876" i="4" s="1"/>
  <c r="Y876" i="4" s="1"/>
  <c r="E875" i="4"/>
  <c r="AD874" i="4"/>
  <c r="AA874" i="4"/>
  <c r="X874" i="4"/>
  <c r="K874" i="4"/>
  <c r="AF874" i="4" s="1"/>
  <c r="AE874" i="4" s="1"/>
  <c r="J874" i="4"/>
  <c r="AC874" i="4" s="1"/>
  <c r="AB874" i="4" s="1"/>
  <c r="I874" i="4"/>
  <c r="Z874" i="4" s="1"/>
  <c r="Y874" i="4" s="1"/>
  <c r="AD873" i="4"/>
  <c r="AA873" i="4"/>
  <c r="X873" i="4"/>
  <c r="K873" i="4"/>
  <c r="AF873" i="4" s="1"/>
  <c r="J873" i="4"/>
  <c r="AC873" i="4" s="1"/>
  <c r="AB873" i="4" s="1"/>
  <c r="I873" i="4"/>
  <c r="Z873" i="4" s="1"/>
  <c r="Y873" i="4" s="1"/>
  <c r="B871" i="4"/>
  <c r="AA867" i="4"/>
  <c r="X867" i="4"/>
  <c r="J867" i="4"/>
  <c r="AC867" i="4" s="1"/>
  <c r="I867" i="4"/>
  <c r="Z867" i="4" s="1"/>
  <c r="AD865" i="4"/>
  <c r="AA865" i="4"/>
  <c r="X865" i="4"/>
  <c r="K865" i="4"/>
  <c r="AF865" i="4" s="1"/>
  <c r="J865" i="4"/>
  <c r="AC865" i="4" s="1"/>
  <c r="I865" i="4"/>
  <c r="Z865" i="4" s="1"/>
  <c r="Y865" i="4" s="1"/>
  <c r="G864" i="4"/>
  <c r="F864" i="4"/>
  <c r="AD863" i="4"/>
  <c r="AA863" i="4"/>
  <c r="X863" i="4"/>
  <c r="H861" i="4"/>
  <c r="K867" i="4" s="1"/>
  <c r="AF867" i="4" s="1"/>
  <c r="D857" i="4"/>
  <c r="D845" i="4"/>
  <c r="E863" i="4" s="1"/>
  <c r="Z834" i="4"/>
  <c r="AA832" i="4"/>
  <c r="X832" i="4"/>
  <c r="J832" i="4"/>
  <c r="AC832" i="4" s="1"/>
  <c r="AB832" i="4" s="1"/>
  <c r="I832" i="4"/>
  <c r="Z832" i="4" s="1"/>
  <c r="Y832" i="4" s="1"/>
  <c r="AD830" i="4"/>
  <c r="AA830" i="4"/>
  <c r="X830" i="4"/>
  <c r="K830" i="4"/>
  <c r="AF830" i="4" s="1"/>
  <c r="J830" i="4"/>
  <c r="AC830" i="4" s="1"/>
  <c r="I830" i="4"/>
  <c r="Z830" i="4" s="1"/>
  <c r="H829" i="4"/>
  <c r="G829" i="4"/>
  <c r="F829" i="4"/>
  <c r="AD828" i="4"/>
  <c r="AA828" i="4"/>
  <c r="X828" i="4"/>
  <c r="K828" i="4"/>
  <c r="AF828" i="4" s="1"/>
  <c r="J828" i="4"/>
  <c r="AC828" i="4" s="1"/>
  <c r="I828" i="4"/>
  <c r="Z828" i="4" s="1"/>
  <c r="Y828" i="4" s="1"/>
  <c r="E827" i="4"/>
  <c r="AF825" i="4"/>
  <c r="AC825" i="4"/>
  <c r="AA825" i="4"/>
  <c r="Z825" i="4"/>
  <c r="X825" i="4"/>
  <c r="AD823" i="4"/>
  <c r="AA823" i="4"/>
  <c r="X823" i="4"/>
  <c r="K823" i="4"/>
  <c r="AF823" i="4" s="1"/>
  <c r="AE823" i="4" s="1"/>
  <c r="J823" i="4"/>
  <c r="AC823" i="4" s="1"/>
  <c r="I823" i="4"/>
  <c r="Z823" i="4" s="1"/>
  <c r="Y823" i="4" s="1"/>
  <c r="H822" i="4"/>
  <c r="G822" i="4"/>
  <c r="F822" i="4"/>
  <c r="AD821" i="4"/>
  <c r="AA821" i="4"/>
  <c r="X821" i="4"/>
  <c r="H821" i="4"/>
  <c r="K821" i="4" s="1"/>
  <c r="AF821" i="4" s="1"/>
  <c r="G821" i="4"/>
  <c r="J821" i="4" s="1"/>
  <c r="AC821" i="4" s="1"/>
  <c r="AB821" i="4" s="1"/>
  <c r="F821" i="4"/>
  <c r="I821" i="4" s="1"/>
  <c r="Z821" i="4" s="1"/>
  <c r="E820" i="4"/>
  <c r="H818" i="4"/>
  <c r="AD825" i="4" s="1"/>
  <c r="B818" i="4"/>
  <c r="X809" i="4"/>
  <c r="F809" i="4"/>
  <c r="Z809" i="4" s="1"/>
  <c r="Y809" i="4" s="1"/>
  <c r="X808" i="4"/>
  <c r="F808" i="4"/>
  <c r="Z808" i="4" s="1"/>
  <c r="X807" i="4"/>
  <c r="F807" i="4"/>
  <c r="AA801" i="4"/>
  <c r="X801" i="4"/>
  <c r="F801" i="4"/>
  <c r="AA800" i="4"/>
  <c r="X800" i="4"/>
  <c r="F800" i="4"/>
  <c r="AA799" i="4"/>
  <c r="X799" i="4"/>
  <c r="F799" i="4"/>
  <c r="Z799" i="4" s="1"/>
  <c r="Y799" i="4" s="1"/>
  <c r="AA798" i="4"/>
  <c r="X798" i="4"/>
  <c r="F798" i="4"/>
  <c r="Z798" i="4" s="1"/>
  <c r="Y798" i="4" s="1"/>
  <c r="AA797" i="4"/>
  <c r="X797" i="4"/>
  <c r="F797" i="4"/>
  <c r="AA796" i="4"/>
  <c r="X796" i="4"/>
  <c r="F796" i="4"/>
  <c r="AA795" i="4"/>
  <c r="X795" i="4"/>
  <c r="F795" i="4"/>
  <c r="Z795" i="4" s="1"/>
  <c r="Y795" i="4" s="1"/>
  <c r="AA794" i="4"/>
  <c r="X794" i="4"/>
  <c r="F794" i="4"/>
  <c r="Z794" i="4" s="1"/>
  <c r="Y794" i="4" s="1"/>
  <c r="AA793" i="4"/>
  <c r="X793" i="4"/>
  <c r="F793" i="4"/>
  <c r="AA792" i="4"/>
  <c r="X792" i="4"/>
  <c r="F792" i="4"/>
  <c r="B789" i="4"/>
  <c r="H786" i="4"/>
  <c r="U782" i="4"/>
  <c r="T782" i="4"/>
  <c r="X778" i="4"/>
  <c r="U778" i="4"/>
  <c r="T778" i="4"/>
  <c r="D778" i="4"/>
  <c r="F778" i="4" s="1"/>
  <c r="Z778" i="4" s="1"/>
  <c r="Y778" i="4" s="1"/>
  <c r="AD772" i="4"/>
  <c r="AA772" i="4"/>
  <c r="X772" i="4"/>
  <c r="U772" i="4"/>
  <c r="T772" i="4"/>
  <c r="D772" i="4"/>
  <c r="F772" i="4" s="1"/>
  <c r="AF772" i="4" s="1"/>
  <c r="AE772" i="4" s="1"/>
  <c r="AD771" i="4"/>
  <c r="AA771" i="4"/>
  <c r="X771" i="4"/>
  <c r="U771" i="4"/>
  <c r="T771" i="4"/>
  <c r="D771" i="4"/>
  <c r="F771" i="4" s="1"/>
  <c r="AD770" i="4"/>
  <c r="AA770" i="4"/>
  <c r="X770" i="4"/>
  <c r="U770" i="4"/>
  <c r="T770" i="4"/>
  <c r="D770" i="4"/>
  <c r="F770" i="4" s="1"/>
  <c r="AD769" i="4"/>
  <c r="AA769" i="4"/>
  <c r="X769" i="4"/>
  <c r="U769" i="4"/>
  <c r="T769" i="4"/>
  <c r="D769" i="4"/>
  <c r="F769" i="4" s="1"/>
  <c r="AD768" i="4"/>
  <c r="AA768" i="4"/>
  <c r="X768" i="4"/>
  <c r="U768" i="4"/>
  <c r="T768" i="4"/>
  <c r="D768" i="4"/>
  <c r="F768" i="4" s="1"/>
  <c r="AF768" i="4" s="1"/>
  <c r="AE768" i="4" s="1"/>
  <c r="AD767" i="4"/>
  <c r="AA767" i="4"/>
  <c r="X767" i="4"/>
  <c r="U767" i="4"/>
  <c r="T767" i="4"/>
  <c r="D767" i="4"/>
  <c r="F767" i="4" s="1"/>
  <c r="AD766" i="4"/>
  <c r="AA766" i="4"/>
  <c r="X766" i="4"/>
  <c r="U766" i="4"/>
  <c r="T766" i="4"/>
  <c r="D766" i="4"/>
  <c r="F766" i="4" s="1"/>
  <c r="AD765" i="4"/>
  <c r="AA765" i="4"/>
  <c r="X765" i="4"/>
  <c r="U765" i="4"/>
  <c r="T765" i="4"/>
  <c r="D765" i="4"/>
  <c r="F765" i="4" s="1"/>
  <c r="AD764" i="4"/>
  <c r="AA764" i="4"/>
  <c r="X764" i="4"/>
  <c r="U764" i="4"/>
  <c r="T764" i="4"/>
  <c r="D764" i="4"/>
  <c r="F764" i="4" s="1"/>
  <c r="AF764" i="4" s="1"/>
  <c r="AE764" i="4" s="1"/>
  <c r="AD763" i="4"/>
  <c r="AA763" i="4"/>
  <c r="X763" i="4"/>
  <c r="U763" i="4"/>
  <c r="T763" i="4"/>
  <c r="D763" i="4"/>
  <c r="F763" i="4" s="1"/>
  <c r="AD762" i="4"/>
  <c r="AA762" i="4"/>
  <c r="X762" i="4"/>
  <c r="U762" i="4"/>
  <c r="T762" i="4"/>
  <c r="D762" i="4"/>
  <c r="F762" i="4" s="1"/>
  <c r="X756" i="4"/>
  <c r="U756" i="4"/>
  <c r="T756" i="4"/>
  <c r="D756" i="4"/>
  <c r="F756" i="4" s="1"/>
  <c r="Z756" i="4" s="1"/>
  <c r="Y756" i="4" s="1"/>
  <c r="X755" i="4"/>
  <c r="U755" i="4"/>
  <c r="T755" i="4"/>
  <c r="D755" i="4"/>
  <c r="F755" i="4" s="1"/>
  <c r="Z755" i="4" s="1"/>
  <c r="X754" i="4"/>
  <c r="U754" i="4"/>
  <c r="T754" i="4"/>
  <c r="D754" i="4"/>
  <c r="F754" i="4" s="1"/>
  <c r="Z754" i="4" s="1"/>
  <c r="Y754" i="4" s="1"/>
  <c r="X753" i="4"/>
  <c r="U753" i="4"/>
  <c r="T753" i="4"/>
  <c r="D753" i="4"/>
  <c r="F753" i="4" s="1"/>
  <c r="Z753" i="4" s="1"/>
  <c r="X752" i="4"/>
  <c r="U752" i="4"/>
  <c r="T752" i="4"/>
  <c r="D752" i="4"/>
  <c r="F752" i="4" s="1"/>
  <c r="Z752" i="4" s="1"/>
  <c r="Y752" i="4" s="1"/>
  <c r="X751" i="4"/>
  <c r="U751" i="4"/>
  <c r="T751" i="4"/>
  <c r="D751" i="4"/>
  <c r="F751" i="4" s="1"/>
  <c r="B748" i="4"/>
  <c r="F745" i="4"/>
  <c r="F744" i="4"/>
  <c r="F743" i="4"/>
  <c r="L742" i="4"/>
  <c r="K742" i="4"/>
  <c r="J742" i="4"/>
  <c r="L741" i="4"/>
  <c r="K741" i="4"/>
  <c r="J741" i="4"/>
  <c r="L740" i="4"/>
  <c r="K740" i="4"/>
  <c r="J740" i="4"/>
  <c r="L739" i="4"/>
  <c r="K739" i="4"/>
  <c r="J739" i="4"/>
  <c r="L738" i="4"/>
  <c r="K738" i="4"/>
  <c r="J738" i="4"/>
  <c r="L737" i="4"/>
  <c r="K737" i="4"/>
  <c r="J737" i="4"/>
  <c r="L736" i="4"/>
  <c r="K736" i="4"/>
  <c r="J736" i="4"/>
  <c r="L735" i="4"/>
  <c r="K735" i="4"/>
  <c r="J735" i="4"/>
  <c r="L734" i="4"/>
  <c r="K734" i="4"/>
  <c r="J734" i="4"/>
  <c r="L733" i="4"/>
  <c r="K733" i="4"/>
  <c r="J733" i="4"/>
  <c r="L732" i="4"/>
  <c r="K732" i="4"/>
  <c r="J732" i="4"/>
  <c r="L731" i="4"/>
  <c r="K731" i="4"/>
  <c r="J731" i="4"/>
  <c r="L730" i="4"/>
  <c r="K730" i="4"/>
  <c r="J730" i="4"/>
  <c r="L729" i="4"/>
  <c r="K729" i="4"/>
  <c r="J729" i="4"/>
  <c r="L728" i="4"/>
  <c r="K728" i="4"/>
  <c r="J728" i="4"/>
  <c r="L727" i="4"/>
  <c r="K727" i="4"/>
  <c r="J727" i="4"/>
  <c r="L726" i="4"/>
  <c r="K726" i="4"/>
  <c r="J726" i="4"/>
  <c r="B724" i="4"/>
  <c r="F720" i="4"/>
  <c r="F719" i="4"/>
  <c r="F718" i="4"/>
  <c r="F717" i="4"/>
  <c r="F716" i="4"/>
  <c r="F713" i="4"/>
  <c r="G707" i="4"/>
  <c r="X706" i="4"/>
  <c r="AA706" i="4" s="1"/>
  <c r="G706" i="4"/>
  <c r="G705" i="4"/>
  <c r="G704" i="4"/>
  <c r="X704" i="4" s="1"/>
  <c r="G703" i="4"/>
  <c r="G700" i="4"/>
  <c r="G699" i="4"/>
  <c r="B697" i="4"/>
  <c r="G692" i="4"/>
  <c r="AD691" i="4"/>
  <c r="X691" i="4"/>
  <c r="G691" i="4"/>
  <c r="G689" i="4"/>
  <c r="X689" i="4" s="1"/>
  <c r="AA689" i="4" s="1"/>
  <c r="AD689" i="4" s="1"/>
  <c r="G688" i="4"/>
  <c r="G687" i="4"/>
  <c r="X687" i="4" s="1"/>
  <c r="AA687" i="4" s="1"/>
  <c r="B685" i="4"/>
  <c r="U681" i="4"/>
  <c r="T681" i="4"/>
  <c r="G681" i="4"/>
  <c r="AD680" i="4"/>
  <c r="X680" i="4"/>
  <c r="AA680" i="4" s="1"/>
  <c r="U680" i="4"/>
  <c r="T680" i="4"/>
  <c r="G680" i="4"/>
  <c r="U679" i="4"/>
  <c r="T679" i="4"/>
  <c r="U678" i="4"/>
  <c r="T678" i="4"/>
  <c r="G678" i="4"/>
  <c r="U677" i="4"/>
  <c r="T677" i="4"/>
  <c r="G677" i="4"/>
  <c r="U676" i="4"/>
  <c r="T676" i="4"/>
  <c r="G676" i="4"/>
  <c r="U670" i="4"/>
  <c r="T670" i="4"/>
  <c r="G670" i="4"/>
  <c r="AD669" i="4"/>
  <c r="AA669" i="4"/>
  <c r="X669" i="4"/>
  <c r="U669" i="4"/>
  <c r="T669" i="4"/>
  <c r="G669" i="4"/>
  <c r="U668" i="4"/>
  <c r="T668" i="4"/>
  <c r="U667" i="4"/>
  <c r="T667" i="4"/>
  <c r="G660" i="4"/>
  <c r="X659" i="4"/>
  <c r="G659" i="4"/>
  <c r="G656" i="4"/>
  <c r="X656" i="4" s="1"/>
  <c r="AA656" i="4" s="1"/>
  <c r="AD656" i="4" s="1"/>
  <c r="G655" i="4"/>
  <c r="H655" i="4" s="1"/>
  <c r="B648" i="4"/>
  <c r="G644" i="4"/>
  <c r="AD643" i="4"/>
  <c r="AA643" i="4"/>
  <c r="X643" i="4"/>
  <c r="G643" i="4"/>
  <c r="G642" i="4"/>
  <c r="G641" i="4"/>
  <c r="H641" i="4" s="1"/>
  <c r="G640" i="4"/>
  <c r="B636" i="4"/>
  <c r="G632" i="4"/>
  <c r="X631" i="4"/>
  <c r="AA631" i="4" s="1"/>
  <c r="AD631" i="4" s="1"/>
  <c r="G631" i="4"/>
  <c r="G629" i="4"/>
  <c r="X629" i="4" s="1"/>
  <c r="AA629" i="4" s="1"/>
  <c r="AD629" i="4" s="1"/>
  <c r="G628" i="4"/>
  <c r="G626" i="4"/>
  <c r="G625" i="4"/>
  <c r="X625" i="4" s="1"/>
  <c r="AA625" i="4" s="1"/>
  <c r="AD625" i="4" s="1"/>
  <c r="G624" i="4"/>
  <c r="X624" i="4" s="1"/>
  <c r="B619" i="4"/>
  <c r="X613" i="4"/>
  <c r="AA613" i="4" s="1"/>
  <c r="AD613" i="4" s="1"/>
  <c r="G605" i="4"/>
  <c r="G604" i="4"/>
  <c r="K600" i="4"/>
  <c r="B600" i="4"/>
  <c r="X594" i="4"/>
  <c r="AA594" i="4" s="1"/>
  <c r="G586" i="4"/>
  <c r="G585" i="4"/>
  <c r="B581" i="4"/>
  <c r="G577" i="4"/>
  <c r="X576" i="4"/>
  <c r="G576" i="4"/>
  <c r="G573" i="4"/>
  <c r="X573" i="4" s="1"/>
  <c r="G572" i="4"/>
  <c r="B567" i="4"/>
  <c r="X561" i="4"/>
  <c r="AA561" i="4" s="1"/>
  <c r="G560" i="4"/>
  <c r="G559" i="4"/>
  <c r="J555" i="4"/>
  <c r="B555" i="4"/>
  <c r="G550" i="4"/>
  <c r="X549" i="4"/>
  <c r="AA549" i="4" s="1"/>
  <c r="G549" i="4"/>
  <c r="G548" i="4"/>
  <c r="G547" i="4"/>
  <c r="G546" i="4"/>
  <c r="G544" i="4"/>
  <c r="H544" i="4" s="1"/>
  <c r="B538" i="4"/>
  <c r="G534" i="4"/>
  <c r="X533" i="4"/>
  <c r="AA533" i="4" s="1"/>
  <c r="AD533" i="4" s="1"/>
  <c r="G533" i="4"/>
  <c r="G530" i="4"/>
  <c r="G528" i="4"/>
  <c r="G527" i="4"/>
  <c r="X527" i="4" s="1"/>
  <c r="AA527" i="4" s="1"/>
  <c r="AD527" i="4" s="1"/>
  <c r="F527" i="4"/>
  <c r="H527" i="4" s="1"/>
  <c r="J527" i="4" s="1"/>
  <c r="AB527" i="4" s="1"/>
  <c r="B524" i="4"/>
  <c r="G519" i="4"/>
  <c r="X518" i="4"/>
  <c r="AA518" i="4" s="1"/>
  <c r="G518" i="4"/>
  <c r="G517" i="4"/>
  <c r="G513" i="4"/>
  <c r="B507" i="4"/>
  <c r="X485" i="4"/>
  <c r="E482" i="4"/>
  <c r="G481" i="4"/>
  <c r="X480" i="4"/>
  <c r="I480" i="4"/>
  <c r="Y480" i="4" s="1"/>
  <c r="E479" i="4"/>
  <c r="P478" i="4"/>
  <c r="E478" i="4"/>
  <c r="E477" i="4"/>
  <c r="E476" i="4"/>
  <c r="E475" i="4"/>
  <c r="E474" i="4"/>
  <c r="B472" i="4"/>
  <c r="G469" i="4"/>
  <c r="X468" i="4"/>
  <c r="AA468" i="4" s="1"/>
  <c r="AD468" i="4" s="1"/>
  <c r="G468" i="4"/>
  <c r="G466" i="4"/>
  <c r="X466" i="4" s="1"/>
  <c r="AA466" i="4" s="1"/>
  <c r="G465" i="4"/>
  <c r="G463" i="4"/>
  <c r="G462" i="4"/>
  <c r="X462" i="4" s="1"/>
  <c r="G461" i="4"/>
  <c r="B456" i="4"/>
  <c r="G452" i="4"/>
  <c r="AD451" i="4"/>
  <c r="AA451" i="4"/>
  <c r="X451" i="4"/>
  <c r="G451" i="4"/>
  <c r="G450" i="4"/>
  <c r="H450" i="4" s="1"/>
  <c r="X450" i="4" s="1"/>
  <c r="G449" i="4"/>
  <c r="H449" i="4" s="1"/>
  <c r="G448" i="4"/>
  <c r="H448" i="4" s="1"/>
  <c r="X448" i="4" s="1"/>
  <c r="B444" i="4"/>
  <c r="X437" i="4"/>
  <c r="G436" i="4"/>
  <c r="H436" i="4" s="1"/>
  <c r="G435" i="4"/>
  <c r="H435" i="4" s="1"/>
  <c r="AA435" i="4" s="1"/>
  <c r="K432" i="4"/>
  <c r="B432" i="4"/>
  <c r="X426" i="4"/>
  <c r="AA426" i="4" s="1"/>
  <c r="AD426" i="4" s="1"/>
  <c r="G425" i="4"/>
  <c r="G424" i="4"/>
  <c r="H424" i="4" s="1"/>
  <c r="I424" i="4" s="1"/>
  <c r="B421" i="4"/>
  <c r="U416" i="4"/>
  <c r="T416" i="4"/>
  <c r="G416" i="4"/>
  <c r="X415" i="4"/>
  <c r="AA415" i="4" s="1"/>
  <c r="AD415" i="4" s="1"/>
  <c r="U415" i="4"/>
  <c r="T415" i="4"/>
  <c r="G415" i="4"/>
  <c r="U414" i="4"/>
  <c r="T414" i="4"/>
  <c r="U413" i="4"/>
  <c r="T413" i="4"/>
  <c r="G413" i="4"/>
  <c r="U412" i="4"/>
  <c r="T412" i="4"/>
  <c r="G412" i="4"/>
  <c r="X411" i="4"/>
  <c r="AA411" i="4" s="1"/>
  <c r="U411" i="4"/>
  <c r="T411" i="4"/>
  <c r="G411" i="4"/>
  <c r="H411" i="4" s="1"/>
  <c r="U410" i="4"/>
  <c r="T410" i="4"/>
  <c r="B408" i="4"/>
  <c r="U402" i="4"/>
  <c r="T402" i="4"/>
  <c r="G402" i="4"/>
  <c r="X401" i="4"/>
  <c r="AA401" i="4" s="1"/>
  <c r="U401" i="4"/>
  <c r="T401" i="4"/>
  <c r="G401" i="4"/>
  <c r="U400" i="4"/>
  <c r="T400" i="4"/>
  <c r="G400" i="4"/>
  <c r="X400" i="4" s="1"/>
  <c r="U399" i="4"/>
  <c r="T399" i="4"/>
  <c r="U398" i="4"/>
  <c r="T398" i="4"/>
  <c r="U397" i="4"/>
  <c r="T397" i="4"/>
  <c r="U396" i="4"/>
  <c r="T396" i="4"/>
  <c r="G396" i="4"/>
  <c r="X396" i="4" s="1"/>
  <c r="X395" i="4"/>
  <c r="U395" i="4"/>
  <c r="T395" i="4"/>
  <c r="U394" i="4"/>
  <c r="T394" i="4"/>
  <c r="U393" i="4"/>
  <c r="T393" i="4"/>
  <c r="U392" i="4"/>
  <c r="T392" i="4"/>
  <c r="G392" i="4"/>
  <c r="X392" i="4" s="1"/>
  <c r="F392" i="4"/>
  <c r="U391" i="4"/>
  <c r="T391" i="4"/>
  <c r="U390" i="4"/>
  <c r="T390" i="4"/>
  <c r="U389" i="4"/>
  <c r="T389" i="4"/>
  <c r="U388" i="4"/>
  <c r="T388" i="4"/>
  <c r="AD380" i="4"/>
  <c r="AA380" i="4"/>
  <c r="X380" i="4"/>
  <c r="AD377" i="4"/>
  <c r="AF377" i="4" s="1"/>
  <c r="AA377" i="4"/>
  <c r="AC377" i="4" s="1"/>
  <c r="X377" i="4"/>
  <c r="Z377" i="4" s="1"/>
  <c r="H377" i="4"/>
  <c r="G376" i="4"/>
  <c r="E374" i="4"/>
  <c r="B367" i="4"/>
  <c r="X360" i="4"/>
  <c r="AA360" i="4" s="1"/>
  <c r="AD360" i="4" s="1"/>
  <c r="AD359" i="4"/>
  <c r="X359" i="4"/>
  <c r="H359" i="4"/>
  <c r="AD358" i="4"/>
  <c r="X358" i="4"/>
  <c r="AA358" i="4" s="1"/>
  <c r="H358" i="4"/>
  <c r="X357" i="4"/>
  <c r="G357" i="4"/>
  <c r="X356" i="4"/>
  <c r="AA356" i="4" s="1"/>
  <c r="G356" i="4"/>
  <c r="G355" i="4"/>
  <c r="AD352" i="4"/>
  <c r="X352" i="4"/>
  <c r="H352" i="4"/>
  <c r="G351" i="4"/>
  <c r="K345" i="4"/>
  <c r="B345" i="4"/>
  <c r="G339" i="4"/>
  <c r="AD338" i="4"/>
  <c r="AA338" i="4"/>
  <c r="X338" i="4"/>
  <c r="G338" i="4"/>
  <c r="B331" i="4"/>
  <c r="H324" i="4"/>
  <c r="H323" i="4"/>
  <c r="H322" i="4"/>
  <c r="H321" i="4"/>
  <c r="H320" i="4"/>
  <c r="H319" i="4"/>
  <c r="H318" i="4"/>
  <c r="H317" i="4"/>
  <c r="B315" i="4"/>
  <c r="G310" i="4"/>
  <c r="AD309" i="4"/>
  <c r="AA309" i="4"/>
  <c r="X309" i="4"/>
  <c r="G309" i="4"/>
  <c r="G308" i="4"/>
  <c r="G307" i="4"/>
  <c r="B303" i="4"/>
  <c r="G298" i="4"/>
  <c r="X297" i="4"/>
  <c r="AA297" i="4" s="1"/>
  <c r="AD297" i="4" s="1"/>
  <c r="G297" i="4"/>
  <c r="G296" i="4"/>
  <c r="G295" i="4"/>
  <c r="X295" i="4" s="1"/>
  <c r="AD294" i="4"/>
  <c r="AA294" i="4"/>
  <c r="Y294" i="4"/>
  <c r="X294" i="4"/>
  <c r="H294" i="4"/>
  <c r="B290" i="4"/>
  <c r="G285" i="4"/>
  <c r="AD284" i="4"/>
  <c r="AA284" i="4"/>
  <c r="X284" i="4"/>
  <c r="G284" i="4"/>
  <c r="B277" i="4"/>
  <c r="G272" i="4"/>
  <c r="X271" i="4"/>
  <c r="AA271" i="4" s="1"/>
  <c r="G271" i="4"/>
  <c r="G269" i="4"/>
  <c r="G268" i="4"/>
  <c r="B264" i="4"/>
  <c r="AA259" i="4"/>
  <c r="AD259" i="4" s="1"/>
  <c r="X259" i="4"/>
  <c r="G258" i="4"/>
  <c r="G254" i="4"/>
  <c r="G253" i="4"/>
  <c r="X253" i="4" s="1"/>
  <c r="F253" i="4"/>
  <c r="H253" i="4" s="1"/>
  <c r="G252" i="4"/>
  <c r="B246" i="4"/>
  <c r="U240" i="4"/>
  <c r="T240" i="4"/>
  <c r="AA239" i="4"/>
  <c r="AD239" i="4" s="1"/>
  <c r="X239" i="4"/>
  <c r="U239" i="4"/>
  <c r="T239" i="4"/>
  <c r="X238" i="4"/>
  <c r="AA238" i="4" s="1"/>
  <c r="AD238" i="4" s="1"/>
  <c r="U238" i="4"/>
  <c r="T238" i="4"/>
  <c r="X237" i="4"/>
  <c r="AA237" i="4" s="1"/>
  <c r="AD237" i="4" s="1"/>
  <c r="U237" i="4"/>
  <c r="T237" i="4"/>
  <c r="U236" i="4"/>
  <c r="T236" i="4"/>
  <c r="U235" i="4"/>
  <c r="T235" i="4"/>
  <c r="U234" i="4"/>
  <c r="T234" i="4"/>
  <c r="G234" i="4"/>
  <c r="U233" i="4"/>
  <c r="T233" i="4"/>
  <c r="H233" i="4"/>
  <c r="U232" i="4"/>
  <c r="T232" i="4"/>
  <c r="G232" i="4"/>
  <c r="H232" i="4" s="1"/>
  <c r="U231" i="4"/>
  <c r="T231" i="4"/>
  <c r="G231" i="4"/>
  <c r="U230" i="4"/>
  <c r="T230" i="4"/>
  <c r="U229" i="4"/>
  <c r="T229" i="4"/>
  <c r="U228" i="4"/>
  <c r="T228" i="4"/>
  <c r="U227" i="4"/>
  <c r="T227" i="4"/>
  <c r="G221" i="4"/>
  <c r="AD220" i="4"/>
  <c r="AA220" i="4"/>
  <c r="X220" i="4"/>
  <c r="G220" i="4"/>
  <c r="X218" i="4"/>
  <c r="AA218" i="4" s="1"/>
  <c r="H218" i="4"/>
  <c r="G217" i="4"/>
  <c r="H217" i="4" s="1"/>
  <c r="G216" i="4"/>
  <c r="B212" i="4"/>
  <c r="G208" i="4"/>
  <c r="AD207" i="4"/>
  <c r="AA207" i="4"/>
  <c r="X207" i="4"/>
  <c r="G207" i="4"/>
  <c r="G206" i="4"/>
  <c r="G203" i="4"/>
  <c r="G202" i="4"/>
  <c r="G200" i="4"/>
  <c r="F200" i="4"/>
  <c r="H200" i="4" s="1"/>
  <c r="B198" i="4"/>
  <c r="G193" i="4"/>
  <c r="AD192" i="4"/>
  <c r="AA192" i="4"/>
  <c r="X192" i="4"/>
  <c r="G192" i="4"/>
  <c r="G191" i="4"/>
  <c r="X191" i="4" s="1"/>
  <c r="G188" i="4"/>
  <c r="AD188" i="4" s="1"/>
  <c r="G187" i="4"/>
  <c r="H187" i="4" s="1"/>
  <c r="G185" i="4"/>
  <c r="X187" i="4" s="1"/>
  <c r="F185" i="4"/>
  <c r="H185" i="4" s="1"/>
  <c r="B183" i="4"/>
  <c r="AA177" i="4"/>
  <c r="AD177" i="4" s="1"/>
  <c r="X177" i="4"/>
  <c r="X176" i="4"/>
  <c r="AA176" i="4" s="1"/>
  <c r="X175" i="4"/>
  <c r="AA175" i="4" s="1"/>
  <c r="G173" i="4"/>
  <c r="H173" i="4" s="1"/>
  <c r="G172" i="4"/>
  <c r="G171" i="4"/>
  <c r="X171" i="4" s="1"/>
  <c r="G170" i="4"/>
  <c r="X170" i="4" s="1"/>
  <c r="AA170" i="4" s="1"/>
  <c r="F170" i="4"/>
  <c r="H170" i="4" s="1"/>
  <c r="K170" i="4" s="1"/>
  <c r="AF166" i="4"/>
  <c r="AC166" i="4"/>
  <c r="H156" i="4"/>
  <c r="D155" i="4"/>
  <c r="H155" i="4" s="1"/>
  <c r="H154" i="4"/>
  <c r="H153" i="4"/>
  <c r="H152" i="4"/>
  <c r="H151" i="4"/>
  <c r="H150" i="4"/>
  <c r="H149" i="4"/>
  <c r="H148" i="4"/>
  <c r="H147" i="4"/>
  <c r="D146" i="4"/>
  <c r="H146" i="4" s="1"/>
  <c r="X138" i="4"/>
  <c r="AA138" i="4" s="1"/>
  <c r="H137" i="4"/>
  <c r="X136" i="4"/>
  <c r="AA136" i="4" s="1"/>
  <c r="AD136" i="4" s="1"/>
  <c r="H136" i="4"/>
  <c r="X135" i="4"/>
  <c r="AA135" i="4" s="1"/>
  <c r="H135" i="4"/>
  <c r="X134" i="4"/>
  <c r="AA134" i="4" s="1"/>
  <c r="H134" i="4"/>
  <c r="H132" i="4"/>
  <c r="X131" i="4"/>
  <c r="AA131" i="4" s="1"/>
  <c r="H131" i="4"/>
  <c r="X130" i="4"/>
  <c r="H130" i="4"/>
  <c r="X129" i="4"/>
  <c r="AA129" i="4" s="1"/>
  <c r="AD129" i="4" s="1"/>
  <c r="H129" i="4"/>
  <c r="X128" i="4"/>
  <c r="AA128" i="4" s="1"/>
  <c r="H128" i="4"/>
  <c r="B123" i="4"/>
  <c r="X117" i="4"/>
  <c r="AA117" i="4" s="1"/>
  <c r="H116" i="4"/>
  <c r="X115" i="4"/>
  <c r="AA115" i="4" s="1"/>
  <c r="AD115" i="4" s="1"/>
  <c r="H115" i="4"/>
  <c r="X114" i="4"/>
  <c r="H114" i="4"/>
  <c r="X113" i="4"/>
  <c r="AA113" i="4" s="1"/>
  <c r="H113" i="4"/>
  <c r="H111" i="4"/>
  <c r="H110" i="4"/>
  <c r="X109" i="4"/>
  <c r="H109" i="4"/>
  <c r="X108" i="4"/>
  <c r="AA108" i="4" s="1"/>
  <c r="AD108" i="4" s="1"/>
  <c r="H108" i="4"/>
  <c r="X107" i="4"/>
  <c r="AA107" i="4" s="1"/>
  <c r="H107" i="4"/>
  <c r="B102" i="4"/>
  <c r="G96" i="4"/>
  <c r="X95" i="4"/>
  <c r="G95" i="4"/>
  <c r="X94" i="4"/>
  <c r="AA94" i="4" s="1"/>
  <c r="H94" i="4"/>
  <c r="G93" i="4"/>
  <c r="G90" i="4"/>
  <c r="G88" i="4"/>
  <c r="G87" i="4"/>
  <c r="H87" i="4" s="1"/>
  <c r="B78" i="4"/>
  <c r="AF71" i="4"/>
  <c r="AD71" i="4"/>
  <c r="AE71" i="4" s="1"/>
  <c r="AF70" i="4"/>
  <c r="AA70" i="4"/>
  <c r="AD70" i="4" s="1"/>
  <c r="AE70" i="4" s="1"/>
  <c r="X70" i="4"/>
  <c r="AF69" i="4"/>
  <c r="Y68" i="4"/>
  <c r="Q68" i="4"/>
  <c r="AF68" i="4" s="1"/>
  <c r="J68" i="4"/>
  <c r="M68" i="4" s="1"/>
  <c r="AC68" i="4" s="1"/>
  <c r="E68" i="4"/>
  <c r="AA67" i="4"/>
  <c r="AD67" i="4" s="1"/>
  <c r="Y67" i="4"/>
  <c r="X67" i="4"/>
  <c r="I67" i="4"/>
  <c r="M67" i="4" s="1"/>
  <c r="AF66" i="4"/>
  <c r="AF65" i="4"/>
  <c r="Y65" i="4"/>
  <c r="E65" i="4"/>
  <c r="B63" i="4"/>
  <c r="D54" i="4"/>
  <c r="D7" i="4"/>
  <c r="D8" i="4" s="1"/>
  <c r="D9" i="4" s="1"/>
  <c r="J79" i="3"/>
  <c r="I79" i="3"/>
  <c r="H79" i="3"/>
  <c r="F79" i="3"/>
  <c r="E79" i="3"/>
  <c r="D79" i="3"/>
  <c r="N78" i="3"/>
  <c r="M78" i="3"/>
  <c r="L78" i="3"/>
  <c r="N77" i="3"/>
  <c r="M77" i="3"/>
  <c r="L77" i="3"/>
  <c r="N76" i="3"/>
  <c r="M76" i="3"/>
  <c r="L76" i="3"/>
  <c r="N75" i="3"/>
  <c r="M75" i="3"/>
  <c r="L75" i="3"/>
  <c r="N74" i="3"/>
  <c r="M74" i="3"/>
  <c r="L74" i="3"/>
  <c r="N73" i="3"/>
  <c r="M73" i="3"/>
  <c r="L73" i="3"/>
  <c r="N72" i="3"/>
  <c r="M72" i="3"/>
  <c r="L72" i="3"/>
  <c r="N71" i="3"/>
  <c r="M71" i="3"/>
  <c r="L71" i="3"/>
  <c r="P64" i="3"/>
  <c r="O64" i="3"/>
  <c r="N64" i="3"/>
  <c r="M64" i="3"/>
  <c r="L64" i="3"/>
  <c r="K64" i="3"/>
  <c r="J64" i="3"/>
  <c r="I64" i="3"/>
  <c r="H64" i="3"/>
  <c r="G64" i="3"/>
  <c r="F64" i="3"/>
  <c r="E64" i="3"/>
  <c r="P49" i="3"/>
  <c r="O49" i="3"/>
  <c r="N49" i="3"/>
  <c r="M49" i="3"/>
  <c r="L49" i="3"/>
  <c r="K49" i="3"/>
  <c r="J49" i="3"/>
  <c r="I49" i="3"/>
  <c r="H49" i="3"/>
  <c r="G49" i="3"/>
  <c r="F49" i="3"/>
  <c r="E49" i="3"/>
  <c r="Q49" i="3" s="1"/>
  <c r="R49" i="3" s="1"/>
  <c r="P43" i="3"/>
  <c r="O43" i="3"/>
  <c r="N43" i="3"/>
  <c r="M43" i="3"/>
  <c r="H43" i="3"/>
  <c r="G43" i="3"/>
  <c r="F43" i="3"/>
  <c r="E43" i="3"/>
  <c r="L38" i="3"/>
  <c r="L43" i="3" s="1"/>
  <c r="K38" i="3"/>
  <c r="K43" i="3" s="1"/>
  <c r="J38" i="3"/>
  <c r="J43" i="3" s="1"/>
  <c r="I38" i="3"/>
  <c r="I43" i="3" s="1"/>
  <c r="E34" i="3"/>
  <c r="P32" i="3"/>
  <c r="O32" i="3"/>
  <c r="N32" i="3"/>
  <c r="M32" i="3"/>
  <c r="L32" i="3"/>
  <c r="K32" i="3"/>
  <c r="J32" i="3"/>
  <c r="I32" i="3"/>
  <c r="H32" i="3"/>
  <c r="P30" i="3"/>
  <c r="P34" i="3" s="1"/>
  <c r="O30" i="3"/>
  <c r="N30" i="3"/>
  <c r="N34" i="3" s="1"/>
  <c r="M30" i="3"/>
  <c r="L30" i="3"/>
  <c r="L34" i="3" s="1"/>
  <c r="K30" i="3"/>
  <c r="J30" i="3"/>
  <c r="J34" i="3" s="1"/>
  <c r="I30" i="3"/>
  <c r="I34" i="3" s="1"/>
  <c r="H30" i="3"/>
  <c r="H34" i="3" s="1"/>
  <c r="G30" i="3"/>
  <c r="G34" i="3" s="1"/>
  <c r="F30" i="3"/>
  <c r="F34" i="3" s="1"/>
  <c r="P21" i="3"/>
  <c r="O21" i="3"/>
  <c r="N21" i="3"/>
  <c r="M21" i="3"/>
  <c r="L21" i="3"/>
  <c r="K21" i="3"/>
  <c r="J21" i="3"/>
  <c r="I21" i="3"/>
  <c r="H21" i="3"/>
  <c r="G21" i="3"/>
  <c r="F21" i="3"/>
  <c r="E21" i="3"/>
  <c r="Q21" i="3" s="1"/>
  <c r="R21" i="3" s="1"/>
  <c r="P15" i="3"/>
  <c r="O15" i="3"/>
  <c r="N15" i="3"/>
  <c r="M15" i="3"/>
  <c r="L15" i="3"/>
  <c r="K15" i="3"/>
  <c r="J15" i="3"/>
  <c r="I15" i="3"/>
  <c r="H15" i="3"/>
  <c r="G15" i="3"/>
  <c r="F15" i="3"/>
  <c r="E15" i="3"/>
  <c r="Q15" i="3" s="1"/>
  <c r="R15" i="3" s="1"/>
  <c r="F8" i="3"/>
  <c r="F5" i="3"/>
  <c r="F4" i="3"/>
  <c r="F3" i="3"/>
  <c r="H267" i="2"/>
  <c r="G267" i="2"/>
  <c r="E266" i="2"/>
  <c r="G265" i="2"/>
  <c r="E265" i="2"/>
  <c r="I265" i="2" s="1"/>
  <c r="J265" i="2" s="1"/>
  <c r="H264" i="2"/>
  <c r="G264" i="2"/>
  <c r="E264" i="2"/>
  <c r="H263" i="2"/>
  <c r="G263" i="2"/>
  <c r="E263" i="2"/>
  <c r="G262" i="2"/>
  <c r="E262" i="2"/>
  <c r="I262" i="2" s="1"/>
  <c r="J262" i="2" s="1"/>
  <c r="H261" i="2"/>
  <c r="E261" i="2"/>
  <c r="I261" i="2" s="1"/>
  <c r="B255" i="2"/>
  <c r="F251" i="2"/>
  <c r="E251" i="2"/>
  <c r="D251" i="2"/>
  <c r="F244" i="2"/>
  <c r="E244" i="2"/>
  <c r="D244" i="2"/>
  <c r="F236" i="2"/>
  <c r="E236" i="2"/>
  <c r="D236" i="2"/>
  <c r="I226" i="2"/>
  <c r="G223" i="2"/>
  <c r="E223" i="2"/>
  <c r="I223" i="2" s="1"/>
  <c r="H222" i="2"/>
  <c r="G222" i="2"/>
  <c r="E222" i="2"/>
  <c r="I222" i="2" s="1"/>
  <c r="H221" i="2"/>
  <c r="G221" i="2"/>
  <c r="E221" i="2"/>
  <c r="I221" i="2" s="1"/>
  <c r="G220" i="2"/>
  <c r="E220" i="2"/>
  <c r="I213" i="2"/>
  <c r="G210" i="2"/>
  <c r="E210" i="2"/>
  <c r="I210" i="2" s="1"/>
  <c r="G209" i="2"/>
  <c r="E209" i="2"/>
  <c r="I209" i="2" s="1"/>
  <c r="H208" i="2"/>
  <c r="G208" i="2"/>
  <c r="E208" i="2"/>
  <c r="I208" i="2" s="1"/>
  <c r="H207" i="2"/>
  <c r="G207" i="2"/>
  <c r="E207" i="2"/>
  <c r="G206" i="2"/>
  <c r="E206" i="2"/>
  <c r="I199" i="2"/>
  <c r="H196" i="2"/>
  <c r="G196" i="2"/>
  <c r="E196" i="2"/>
  <c r="H195" i="2"/>
  <c r="G195" i="2"/>
  <c r="E195" i="2"/>
  <c r="G194" i="2"/>
  <c r="E194" i="2"/>
  <c r="I187" i="2"/>
  <c r="H184" i="2"/>
  <c r="G184" i="2"/>
  <c r="E184" i="2"/>
  <c r="I184" i="2" s="1"/>
  <c r="H183" i="2"/>
  <c r="G183" i="2"/>
  <c r="E183" i="2"/>
  <c r="G182" i="2"/>
  <c r="E182" i="2"/>
  <c r="I176" i="2"/>
  <c r="H173" i="2"/>
  <c r="G173" i="2"/>
  <c r="E173" i="2"/>
  <c r="H172" i="2"/>
  <c r="G172" i="2"/>
  <c r="E172" i="2"/>
  <c r="G171" i="2"/>
  <c r="E171" i="2"/>
  <c r="I165" i="2"/>
  <c r="H162" i="2"/>
  <c r="G162" i="2"/>
  <c r="E162" i="2"/>
  <c r="I162" i="2" s="1"/>
  <c r="J162" i="2" s="1"/>
  <c r="G160" i="2"/>
  <c r="E160" i="2"/>
  <c r="I160" i="2" s="1"/>
  <c r="J160" i="2" s="1"/>
  <c r="H159" i="2"/>
  <c r="G159" i="2"/>
  <c r="E159" i="2"/>
  <c r="H158" i="2"/>
  <c r="G158" i="2"/>
  <c r="E158" i="2"/>
  <c r="I158" i="2" s="1"/>
  <c r="J158" i="2" s="1"/>
  <c r="G157" i="2"/>
  <c r="E157" i="2"/>
  <c r="H156" i="2"/>
  <c r="E156" i="2"/>
  <c r="I148" i="2"/>
  <c r="Y69" i="4" s="1"/>
  <c r="H145" i="2"/>
  <c r="G145" i="2"/>
  <c r="G143" i="2"/>
  <c r="E143" i="2"/>
  <c r="E142" i="2"/>
  <c r="I142" i="2" s="1"/>
  <c r="J142" i="2" s="1"/>
  <c r="I141" i="2"/>
  <c r="J141" i="2" s="1"/>
  <c r="H140" i="2"/>
  <c r="G140" i="2"/>
  <c r="E140" i="2"/>
  <c r="G139" i="2"/>
  <c r="E139" i="2"/>
  <c r="I139" i="2" s="1"/>
  <c r="J139" i="2" s="1"/>
  <c r="H138" i="2"/>
  <c r="I138" i="2" s="1"/>
  <c r="B132" i="2"/>
  <c r="I128" i="2"/>
  <c r="H125" i="2"/>
  <c r="G125" i="2"/>
  <c r="E124" i="2"/>
  <c r="G123" i="2"/>
  <c r="E123" i="2"/>
  <c r="H122" i="2"/>
  <c r="E122" i="2"/>
  <c r="H121" i="2"/>
  <c r="G121" i="2"/>
  <c r="E121" i="2"/>
  <c r="I121" i="2" s="1"/>
  <c r="E120" i="2"/>
  <c r="H119" i="2"/>
  <c r="E119" i="2"/>
  <c r="B115" i="2"/>
  <c r="G120" i="2" s="1"/>
  <c r="I120" i="2" s="1"/>
  <c r="B113" i="2"/>
  <c r="I111" i="2"/>
  <c r="H108" i="2"/>
  <c r="G108" i="2"/>
  <c r="E107" i="2"/>
  <c r="G106" i="2"/>
  <c r="E106" i="2"/>
  <c r="I106" i="2" s="1"/>
  <c r="J106" i="2" s="1"/>
  <c r="H105" i="2"/>
  <c r="E105" i="2"/>
  <c r="H104" i="2"/>
  <c r="G104" i="2"/>
  <c r="E104" i="2"/>
  <c r="I104" i="2" s="1"/>
  <c r="J104" i="2" s="1"/>
  <c r="E103" i="2"/>
  <c r="H102" i="2"/>
  <c r="E102" i="2"/>
  <c r="I102" i="2" s="1"/>
  <c r="B98" i="2"/>
  <c r="B96" i="2"/>
  <c r="I92" i="2"/>
  <c r="F166" i="4" s="1"/>
  <c r="H89" i="2"/>
  <c r="G89" i="2"/>
  <c r="E88" i="2"/>
  <c r="G87" i="2"/>
  <c r="E87" i="2"/>
  <c r="I87" i="2" s="1"/>
  <c r="J87" i="2" s="1"/>
  <c r="G86" i="2"/>
  <c r="E86" i="2"/>
  <c r="I86" i="2" s="1"/>
  <c r="J86" i="2" s="1"/>
  <c r="H85" i="2"/>
  <c r="G85" i="2"/>
  <c r="E85" i="2"/>
  <c r="I85" i="2" s="1"/>
  <c r="J85" i="2" s="1"/>
  <c r="G84" i="2"/>
  <c r="E84" i="2"/>
  <c r="H83" i="2"/>
  <c r="E83" i="2"/>
  <c r="I83" i="2" s="1"/>
  <c r="J83" i="2" s="1"/>
  <c r="B77" i="2"/>
  <c r="I73" i="2"/>
  <c r="Y66" i="4" s="1"/>
  <c r="H70" i="2"/>
  <c r="G70" i="2"/>
  <c r="E69" i="2"/>
  <c r="G68" i="2"/>
  <c r="E68" i="2"/>
  <c r="H67" i="2"/>
  <c r="E67" i="2"/>
  <c r="H66" i="2"/>
  <c r="G66" i="2"/>
  <c r="E66" i="2"/>
  <c r="I66" i="2" s="1"/>
  <c r="J66" i="2" s="1"/>
  <c r="E65" i="2"/>
  <c r="H64" i="2"/>
  <c r="E64" i="2"/>
  <c r="I64" i="2" s="1"/>
  <c r="J64" i="2" s="1"/>
  <c r="B60" i="2"/>
  <c r="B58" i="2"/>
  <c r="I56" i="2"/>
  <c r="H53" i="2"/>
  <c r="G53" i="2"/>
  <c r="E52" i="2"/>
  <c r="G51" i="2"/>
  <c r="E51" i="2"/>
  <c r="I51" i="2" s="1"/>
  <c r="J51" i="2" s="1"/>
  <c r="H50" i="2"/>
  <c r="G50" i="2"/>
  <c r="E50" i="2"/>
  <c r="I50" i="2" s="1"/>
  <c r="J50" i="2" s="1"/>
  <c r="H49" i="2"/>
  <c r="G49" i="2"/>
  <c r="E49" i="2"/>
  <c r="I49" i="2" s="1"/>
  <c r="J49" i="2" s="1"/>
  <c r="G48" i="2"/>
  <c r="E48" i="2"/>
  <c r="I48" i="2" s="1"/>
  <c r="J48" i="2" s="1"/>
  <c r="H47" i="2"/>
  <c r="E47" i="2"/>
  <c r="I47" i="2" s="1"/>
  <c r="J47" i="2" s="1"/>
  <c r="B41" i="2"/>
  <c r="F33" i="2"/>
  <c r="F32" i="2"/>
  <c r="C32" i="2"/>
  <c r="F31" i="2"/>
  <c r="F30" i="2"/>
  <c r="F29" i="2"/>
  <c r="E28" i="2"/>
  <c r="F28" i="2" s="1"/>
  <c r="G27" i="2"/>
  <c r="F27" i="2"/>
  <c r="D27" i="2"/>
  <c r="C27" i="2"/>
  <c r="F26" i="2"/>
  <c r="F25" i="2"/>
  <c r="F24" i="2"/>
  <c r="F23" i="2"/>
  <c r="F22" i="2"/>
  <c r="F21" i="2"/>
  <c r="F20" i="2"/>
  <c r="F19" i="2"/>
  <c r="F18" i="2"/>
  <c r="F17" i="2"/>
  <c r="F16" i="2"/>
  <c r="F15" i="2"/>
  <c r="F14" i="2"/>
  <c r="E13" i="2"/>
  <c r="G12" i="2"/>
  <c r="F12" i="2"/>
  <c r="D12" i="2"/>
  <c r="C12" i="2"/>
  <c r="F11" i="2"/>
  <c r="F10" i="2"/>
  <c r="F9" i="2"/>
  <c r="F8" i="2"/>
  <c r="F7" i="2"/>
  <c r="F6" i="2"/>
  <c r="F5" i="2"/>
  <c r="M76" i="1"/>
  <c r="M75" i="1"/>
  <c r="M74" i="1"/>
  <c r="P73" i="1"/>
  <c r="M73" i="1"/>
  <c r="P72" i="1"/>
  <c r="M72" i="1"/>
  <c r="M71" i="1"/>
  <c r="M70" i="1"/>
  <c r="M69" i="1"/>
  <c r="M68" i="1"/>
  <c r="M67" i="1"/>
  <c r="M66" i="1"/>
  <c r="P65" i="1"/>
  <c r="P64" i="1"/>
  <c r="Q63" i="1"/>
  <c r="P63" i="1"/>
  <c r="O63" i="1"/>
  <c r="N63" i="1"/>
  <c r="M63" i="1"/>
  <c r="L63" i="1"/>
  <c r="Q62" i="1"/>
  <c r="P62" i="1"/>
  <c r="O62" i="1"/>
  <c r="N62" i="1"/>
  <c r="M62" i="1"/>
  <c r="L62" i="1"/>
  <c r="Q61" i="1"/>
  <c r="P61" i="1"/>
  <c r="O61" i="1"/>
  <c r="N61" i="1"/>
  <c r="M61" i="1"/>
  <c r="L61" i="1"/>
  <c r="Q60" i="1"/>
  <c r="P60" i="1"/>
  <c r="O60" i="1"/>
  <c r="N60" i="1"/>
  <c r="M60" i="1"/>
  <c r="L60" i="1"/>
  <c r="N58" i="1"/>
  <c r="M58" i="1"/>
  <c r="L58" i="1"/>
  <c r="N57" i="1"/>
  <c r="L57" i="1"/>
  <c r="N56" i="1"/>
  <c r="M56" i="1"/>
  <c r="L56" i="1"/>
  <c r="L55" i="1"/>
  <c r="M54" i="1"/>
  <c r="N53" i="1"/>
  <c r="M53" i="1"/>
  <c r="L53" i="1"/>
  <c r="N52" i="1"/>
  <c r="M52" i="1"/>
  <c r="L52" i="1"/>
  <c r="N51" i="1"/>
  <c r="M51" i="1"/>
  <c r="N50" i="1"/>
  <c r="M50" i="1"/>
  <c r="L50" i="1"/>
  <c r="M49" i="1"/>
  <c r="M48" i="1"/>
  <c r="N47" i="1"/>
  <c r="M47" i="1"/>
  <c r="L47" i="1"/>
  <c r="N46" i="1"/>
  <c r="M46" i="1"/>
  <c r="L46" i="1"/>
  <c r="N45" i="1"/>
  <c r="M45" i="1"/>
  <c r="L45" i="1"/>
  <c r="N44" i="1"/>
  <c r="M44" i="1"/>
  <c r="L44" i="1"/>
  <c r="N43" i="1"/>
  <c r="M43" i="1"/>
  <c r="L43" i="1"/>
  <c r="M42" i="1"/>
  <c r="N41" i="1"/>
  <c r="M41" i="1"/>
  <c r="L41" i="1"/>
  <c r="N40" i="1"/>
  <c r="M40" i="1"/>
  <c r="L40" i="1"/>
  <c r="N39" i="1"/>
  <c r="M39" i="1"/>
  <c r="L39" i="1"/>
  <c r="N38" i="1"/>
  <c r="M38" i="1"/>
  <c r="L38" i="1"/>
  <c r="N36" i="1"/>
  <c r="M36" i="1"/>
  <c r="L36" i="1"/>
  <c r="N35" i="1"/>
  <c r="M35" i="1"/>
  <c r="L35" i="1"/>
  <c r="N33" i="1"/>
  <c r="M33" i="1"/>
  <c r="L33" i="1"/>
  <c r="N31" i="1"/>
  <c r="M31" i="1"/>
  <c r="L31" i="1"/>
  <c r="N30" i="1"/>
  <c r="M30" i="1"/>
  <c r="L30" i="1"/>
  <c r="N29" i="1"/>
  <c r="M29" i="1"/>
  <c r="L29" i="1"/>
  <c r="Q28" i="1"/>
  <c r="N28" i="1" s="1"/>
  <c r="M28" i="1"/>
  <c r="L28" i="1"/>
  <c r="M27" i="1"/>
  <c r="Q26" i="1"/>
  <c r="N26" i="1"/>
  <c r="M26" i="1"/>
  <c r="L26" i="1"/>
  <c r="N25" i="1"/>
  <c r="M25" i="1"/>
  <c r="L25" i="1"/>
  <c r="N24" i="1"/>
  <c r="M24" i="1"/>
  <c r="L24" i="1"/>
  <c r="N23" i="1"/>
  <c r="M23" i="1"/>
  <c r="L23" i="1"/>
  <c r="N22" i="1"/>
  <c r="M22" i="1"/>
  <c r="L22" i="1"/>
  <c r="N21" i="1"/>
  <c r="M21" i="1"/>
  <c r="L21" i="1"/>
  <c r="N20" i="1"/>
  <c r="M20" i="1"/>
  <c r="L20" i="1"/>
  <c r="N19" i="1"/>
  <c r="M19" i="1"/>
  <c r="L19" i="1"/>
  <c r="N18" i="1"/>
  <c r="M18" i="1"/>
  <c r="L18" i="1"/>
  <c r="N17" i="1"/>
  <c r="M17" i="1"/>
  <c r="L17" i="1"/>
  <c r="N16" i="1"/>
  <c r="M16" i="1"/>
  <c r="N15" i="1"/>
  <c r="M15" i="1"/>
  <c r="L15" i="1"/>
  <c r="L14" i="1"/>
  <c r="M14" i="1" s="1"/>
  <c r="N13" i="1"/>
  <c r="M13" i="1"/>
  <c r="L13" i="1"/>
  <c r="L12" i="1"/>
  <c r="M12" i="1" s="1"/>
  <c r="N11" i="1"/>
  <c r="M11" i="1"/>
  <c r="L11" i="1"/>
  <c r="N10" i="1"/>
  <c r="M10" i="1"/>
  <c r="L10" i="1"/>
  <c r="L9" i="1"/>
  <c r="N9" i="1" s="1"/>
  <c r="L8" i="1"/>
  <c r="M8" i="1" s="1"/>
  <c r="L7" i="1"/>
  <c r="M7" i="1" s="1"/>
  <c r="N5" i="1"/>
  <c r="M5" i="1"/>
  <c r="L5" i="1"/>
  <c r="N3" i="1"/>
  <c r="M3" i="1"/>
  <c r="L3" i="1"/>
  <c r="N2" i="1"/>
  <c r="M2" i="1"/>
  <c r="L2" i="1"/>
  <c r="Y821" i="4" l="1"/>
  <c r="AE830" i="4"/>
  <c r="AB867" i="4"/>
  <c r="Y970" i="4"/>
  <c r="Y980" i="4"/>
  <c r="Y1081" i="4"/>
  <c r="Y1088" i="4"/>
  <c r="Y1148" i="4"/>
  <c r="AB1177" i="4"/>
  <c r="Y1300" i="4"/>
  <c r="Z1300" i="4" s="1"/>
  <c r="AE1303" i="4"/>
  <c r="AF1303" i="4" s="1"/>
  <c r="Y808" i="4"/>
  <c r="Y948" i="4"/>
  <c r="Y1038" i="4"/>
  <c r="AE1158" i="4"/>
  <c r="Y1191" i="4"/>
  <c r="Y1297" i="4"/>
  <c r="Y1305" i="4"/>
  <c r="AE821" i="4"/>
  <c r="AB823" i="4"/>
  <c r="AB865" i="4"/>
  <c r="Y1196" i="4"/>
  <c r="AE1305" i="4"/>
  <c r="AF1305" i="4" s="1"/>
  <c r="AB1196" i="4"/>
  <c r="Y1307" i="4"/>
  <c r="Z1307" i="4" s="1"/>
  <c r="Z67" i="4"/>
  <c r="Y1055" i="4"/>
  <c r="Y1084" i="4"/>
  <c r="AE1196" i="4"/>
  <c r="Y1266" i="4"/>
  <c r="Y1296" i="4"/>
  <c r="Z1296" i="4" s="1"/>
  <c r="Y1304" i="4"/>
  <c r="Z1304" i="4" s="1"/>
  <c r="Y1286" i="4"/>
  <c r="AB828" i="4"/>
  <c r="Y830" i="4"/>
  <c r="AE873" i="4"/>
  <c r="Y1197" i="4"/>
  <c r="Y1308" i="4"/>
  <c r="Z1308" i="4" s="1"/>
  <c r="Y753" i="4"/>
  <c r="Y755" i="4"/>
  <c r="AE828" i="4"/>
  <c r="AB830" i="4"/>
  <c r="Y867" i="4"/>
  <c r="AE938" i="4"/>
  <c r="Y1053" i="4"/>
  <c r="Y1177" i="4"/>
  <c r="AB1197" i="4"/>
  <c r="Y1303" i="4"/>
  <c r="Z1303" i="4" s="1"/>
  <c r="G67" i="2"/>
  <c r="G65" i="2"/>
  <c r="I67" i="2"/>
  <c r="J67" i="2" s="1"/>
  <c r="I68" i="2"/>
  <c r="J68" i="2" s="1"/>
  <c r="G103" i="2"/>
  <c r="G105" i="2"/>
  <c r="I103" i="2"/>
  <c r="J103" i="2" s="1"/>
  <c r="I105" i="2"/>
  <c r="J105" i="2" s="1"/>
  <c r="I119" i="2"/>
  <c r="I140" i="2"/>
  <c r="J140" i="2" s="1"/>
  <c r="I143" i="2"/>
  <c r="J143" i="2" s="1"/>
  <c r="I156" i="2"/>
  <c r="J156" i="2" s="1"/>
  <c r="I157" i="2"/>
  <c r="I182" i="2"/>
  <c r="I206" i="2"/>
  <c r="I220" i="2"/>
  <c r="I264" i="2"/>
  <c r="J264" i="2" s="1"/>
  <c r="G238" i="4"/>
  <c r="H238" i="4" s="1"/>
  <c r="AA190" i="4"/>
  <c r="G190" i="4"/>
  <c r="H190" i="4" s="1"/>
  <c r="G186" i="4"/>
  <c r="AD186" i="4" s="1"/>
  <c r="G350" i="4"/>
  <c r="X350" i="4" s="1"/>
  <c r="G282" i="4"/>
  <c r="G236" i="4"/>
  <c r="X236" i="4" s="1"/>
  <c r="X215" i="4"/>
  <c r="AA215" i="4" s="1"/>
  <c r="G169" i="4"/>
  <c r="X169" i="4" s="1"/>
  <c r="G167" i="4"/>
  <c r="G127" i="4"/>
  <c r="G125" i="4"/>
  <c r="G106" i="4"/>
  <c r="H106" i="4" s="1"/>
  <c r="G104" i="4"/>
  <c r="G91" i="4"/>
  <c r="X91" i="4" s="1"/>
  <c r="G89" i="4"/>
  <c r="H89" i="4" s="1"/>
  <c r="G85" i="4"/>
  <c r="G83" i="4"/>
  <c r="G81" i="4"/>
  <c r="K34" i="3"/>
  <c r="M34" i="3"/>
  <c r="O34" i="3"/>
  <c r="X65" i="4"/>
  <c r="Z65" i="4" s="1"/>
  <c r="AA65" i="4"/>
  <c r="AD65" i="4" s="1"/>
  <c r="AE65" i="4" s="1"/>
  <c r="M65" i="4"/>
  <c r="I65" i="4"/>
  <c r="AC67" i="4"/>
  <c r="AB67" i="4" s="1"/>
  <c r="Q67" i="4"/>
  <c r="AA68" i="4"/>
  <c r="AD68" i="4" s="1"/>
  <c r="AE68" i="4" s="1"/>
  <c r="X68" i="4"/>
  <c r="I68" i="4"/>
  <c r="X88" i="4"/>
  <c r="AA88" i="4" s="1"/>
  <c r="AD88" i="4" s="1"/>
  <c r="H88" i="4"/>
  <c r="X90" i="4"/>
  <c r="AA90" i="4" s="1"/>
  <c r="AD90" i="4" s="1"/>
  <c r="H90" i="4"/>
  <c r="K94" i="4"/>
  <c r="J94" i="4"/>
  <c r="I94" i="4"/>
  <c r="Y94" i="4" s="1"/>
  <c r="Z94" i="4" s="1"/>
  <c r="K107" i="4"/>
  <c r="J107" i="4"/>
  <c r="I107" i="4"/>
  <c r="Y107" i="4" s="1"/>
  <c r="Z107" i="4" s="1"/>
  <c r="K108" i="4"/>
  <c r="I108" i="4"/>
  <c r="Y108" i="4" s="1"/>
  <c r="K110" i="4"/>
  <c r="J110" i="4"/>
  <c r="I110" i="4"/>
  <c r="X111" i="4"/>
  <c r="AA111" i="4" s="1"/>
  <c r="J111" i="4"/>
  <c r="AB111" i="4" s="1"/>
  <c r="I111" i="4"/>
  <c r="K113" i="4"/>
  <c r="J113" i="4"/>
  <c r="I113" i="4"/>
  <c r="Y113" i="4" s="1"/>
  <c r="Z113" i="4" s="1"/>
  <c r="K114" i="4"/>
  <c r="J114" i="4"/>
  <c r="I114" i="4"/>
  <c r="Y114" i="4" s="1"/>
  <c r="AA114" i="4"/>
  <c r="Z114" i="4"/>
  <c r="K115" i="4"/>
  <c r="AE115" i="4" s="1"/>
  <c r="I115" i="4"/>
  <c r="Y115" i="4" s="1"/>
  <c r="K128" i="4"/>
  <c r="J128" i="4"/>
  <c r="I128" i="4"/>
  <c r="Y128" i="4" s="1"/>
  <c r="Z128" i="4" s="1"/>
  <c r="K129" i="4"/>
  <c r="AE129" i="4" s="1"/>
  <c r="I129" i="4"/>
  <c r="Y129" i="4" s="1"/>
  <c r="I131" i="4"/>
  <c r="Y131" i="4" s="1"/>
  <c r="Z131" i="4" s="1"/>
  <c r="K131" i="4"/>
  <c r="J131" i="4"/>
  <c r="X132" i="4"/>
  <c r="AA132" i="4" s="1"/>
  <c r="J132" i="4"/>
  <c r="AB132" i="4" s="1"/>
  <c r="I132" i="4"/>
  <c r="I134" i="4"/>
  <c r="Y134" i="4" s="1"/>
  <c r="Z134" i="4" s="1"/>
  <c r="K134" i="4"/>
  <c r="J134" i="4"/>
  <c r="AB134" i="4" s="1"/>
  <c r="K135" i="4"/>
  <c r="J135" i="4"/>
  <c r="I135" i="4"/>
  <c r="Y135" i="4" s="1"/>
  <c r="Z135" i="4" s="1"/>
  <c r="K136" i="4"/>
  <c r="AE136" i="4" s="1"/>
  <c r="I136" i="4"/>
  <c r="Y136" i="4" s="1"/>
  <c r="X173" i="4"/>
  <c r="X172" i="4"/>
  <c r="AA172" i="4" s="1"/>
  <c r="H172" i="4"/>
  <c r="K172" i="4" s="1"/>
  <c r="I173" i="4"/>
  <c r="J173" i="4"/>
  <c r="J200" i="4"/>
  <c r="I200" i="4"/>
  <c r="X217" i="4"/>
  <c r="AA217" i="4" s="1"/>
  <c r="X216" i="4"/>
  <c r="AA216" i="4" s="1"/>
  <c r="H216" i="4"/>
  <c r="K218" i="4"/>
  <c r="J218" i="4"/>
  <c r="AB218" i="4" s="1"/>
  <c r="I218" i="4"/>
  <c r="Y218" i="4" s="1"/>
  <c r="Z218" i="4" s="1"/>
  <c r="AD218" i="4"/>
  <c r="AC218" i="4"/>
  <c r="X231" i="4"/>
  <c r="H231" i="4"/>
  <c r="I232" i="4"/>
  <c r="J232" i="4"/>
  <c r="J233" i="4"/>
  <c r="K233" i="4"/>
  <c r="I233" i="4"/>
  <c r="X254" i="4"/>
  <c r="AA254" i="4" s="1"/>
  <c r="AD254" i="4" s="1"/>
  <c r="H254" i="4"/>
  <c r="X258" i="4"/>
  <c r="H258" i="4"/>
  <c r="X268" i="4"/>
  <c r="H268" i="4"/>
  <c r="X269" i="4"/>
  <c r="H269" i="4"/>
  <c r="K294" i="4"/>
  <c r="AE294" i="4" s="1"/>
  <c r="J294" i="4"/>
  <c r="AB294" i="4" s="1"/>
  <c r="I294" i="4"/>
  <c r="Z294" i="4"/>
  <c r="AA307" i="4"/>
  <c r="AD307" i="4"/>
  <c r="X307" i="4"/>
  <c r="H307" i="4"/>
  <c r="AA308" i="4"/>
  <c r="AD308" i="4"/>
  <c r="X308" i="4"/>
  <c r="H308" i="4"/>
  <c r="AD355" i="4"/>
  <c r="X355" i="4"/>
  <c r="AA355" i="4" s="1"/>
  <c r="H355" i="4"/>
  <c r="I355" i="4" s="1"/>
  <c r="Y355" i="4" s="1"/>
  <c r="Z355" i="4" s="1"/>
  <c r="AD356" i="4"/>
  <c r="H356" i="4"/>
  <c r="AD357" i="4"/>
  <c r="H357" i="4"/>
  <c r="J358" i="4"/>
  <c r="AB358" i="4" s="1"/>
  <c r="K358" i="4"/>
  <c r="AE358" i="4" s="1"/>
  <c r="I358" i="4"/>
  <c r="Y358" i="4" s="1"/>
  <c r="Z358" i="4" s="1"/>
  <c r="I359" i="4"/>
  <c r="Y359" i="4" s="1"/>
  <c r="J359" i="4"/>
  <c r="AA359" i="4"/>
  <c r="Z359" i="4"/>
  <c r="AA376" i="4"/>
  <c r="AD376" i="4"/>
  <c r="X376" i="4"/>
  <c r="H376" i="4"/>
  <c r="J377" i="4"/>
  <c r="K377" i="4"/>
  <c r="I377" i="4"/>
  <c r="X412" i="4"/>
  <c r="AA412" i="4" s="1"/>
  <c r="AD412" i="4" s="1"/>
  <c r="H412" i="4"/>
  <c r="X413" i="4"/>
  <c r="AA413" i="4" s="1"/>
  <c r="AD413" i="4" s="1"/>
  <c r="H413" i="4"/>
  <c r="I449" i="4"/>
  <c r="J449" i="4"/>
  <c r="I474" i="4"/>
  <c r="X474" i="4"/>
  <c r="Y474" i="4" s="1"/>
  <c r="Z474" i="4" s="1"/>
  <c r="X475" i="4"/>
  <c r="I475" i="4"/>
  <c r="Y475" i="4" s="1"/>
  <c r="X476" i="4"/>
  <c r="I476" i="4"/>
  <c r="Y476" i="4" s="1"/>
  <c r="I478" i="4"/>
  <c r="X478" i="4"/>
  <c r="X479" i="4"/>
  <c r="I479" i="4"/>
  <c r="Y479" i="4" s="1"/>
  <c r="Z480" i="4"/>
  <c r="I482" i="4"/>
  <c r="X482" i="4"/>
  <c r="X513" i="4"/>
  <c r="H513" i="4"/>
  <c r="X517" i="4"/>
  <c r="H517" i="4"/>
  <c r="X528" i="4"/>
  <c r="H528" i="4"/>
  <c r="X530" i="4"/>
  <c r="H530" i="4"/>
  <c r="K544" i="4"/>
  <c r="I544" i="4"/>
  <c r="X546" i="4"/>
  <c r="AA546" i="4" s="1"/>
  <c r="AD546" i="4" s="1"/>
  <c r="H546" i="4"/>
  <c r="X548" i="4"/>
  <c r="AA548" i="4" s="1"/>
  <c r="H548" i="4"/>
  <c r="AA559" i="4"/>
  <c r="X559" i="4"/>
  <c r="H559" i="4"/>
  <c r="X572" i="4"/>
  <c r="H572" i="4"/>
  <c r="K572" i="4" s="1"/>
  <c r="X585" i="4"/>
  <c r="X586" i="4"/>
  <c r="AD585" i="4"/>
  <c r="AA586" i="4"/>
  <c r="H586" i="4"/>
  <c r="AA604" i="4"/>
  <c r="X604" i="4"/>
  <c r="H604" i="4"/>
  <c r="K604" i="4" s="1"/>
  <c r="H605" i="4"/>
  <c r="AD605" i="4"/>
  <c r="X626" i="4"/>
  <c r="H626" i="4"/>
  <c r="X628" i="4"/>
  <c r="H628" i="4"/>
  <c r="X641" i="4"/>
  <c r="AA641" i="4" s="1"/>
  <c r="X640" i="4"/>
  <c r="H640" i="4"/>
  <c r="I640" i="4" s="1"/>
  <c r="Y640" i="4" s="1"/>
  <c r="I641" i="4"/>
  <c r="K641" i="4"/>
  <c r="X642" i="4"/>
  <c r="H642" i="4"/>
  <c r="X688" i="4"/>
  <c r="H688" i="4"/>
  <c r="X700" i="4"/>
  <c r="AA700" i="4" s="1"/>
  <c r="AD700" i="4" s="1"/>
  <c r="H700" i="4"/>
  <c r="X705" i="4"/>
  <c r="H705" i="4"/>
  <c r="J705" i="4" s="1"/>
  <c r="L743" i="4"/>
  <c r="K743" i="4"/>
  <c r="J743" i="4"/>
  <c r="L744" i="4"/>
  <c r="K744" i="4"/>
  <c r="J744" i="4"/>
  <c r="L745" i="4"/>
  <c r="K745" i="4"/>
  <c r="J745" i="4"/>
  <c r="AC792" i="4"/>
  <c r="AB792" i="4" s="1"/>
  <c r="Z792" i="4"/>
  <c r="Y792" i="4" s="1"/>
  <c r="AC793" i="4"/>
  <c r="AB793" i="4" s="1"/>
  <c r="Z793" i="4"/>
  <c r="Y793" i="4" s="1"/>
  <c r="AC796" i="4"/>
  <c r="AB796" i="4" s="1"/>
  <c r="Z796" i="4"/>
  <c r="Y796" i="4" s="1"/>
  <c r="AC797" i="4"/>
  <c r="AB797" i="4" s="1"/>
  <c r="Z797" i="4"/>
  <c r="Y797" i="4" s="1"/>
  <c r="AC800" i="4"/>
  <c r="AB800" i="4" s="1"/>
  <c r="Z800" i="4"/>
  <c r="Y800" i="4" s="1"/>
  <c r="AC801" i="4"/>
  <c r="AB801" i="4" s="1"/>
  <c r="Z801" i="4"/>
  <c r="Y801" i="4" s="1"/>
  <c r="F811" i="4"/>
  <c r="Z807" i="4"/>
  <c r="Y807" i="4" s="1"/>
  <c r="X820" i="4"/>
  <c r="AD820" i="4"/>
  <c r="AA820" i="4"/>
  <c r="K820" i="4"/>
  <c r="AF820" i="4" s="1"/>
  <c r="AE820" i="4" s="1"/>
  <c r="J820" i="4"/>
  <c r="AC820" i="4" s="1"/>
  <c r="AB820" i="4" s="1"/>
  <c r="I820" i="4"/>
  <c r="Z820" i="4" s="1"/>
  <c r="X827" i="4"/>
  <c r="AD827" i="4"/>
  <c r="AA827" i="4"/>
  <c r="K827" i="4"/>
  <c r="AF827" i="4" s="1"/>
  <c r="J827" i="4"/>
  <c r="AC827" i="4" s="1"/>
  <c r="AB827" i="4" s="1"/>
  <c r="I827" i="4"/>
  <c r="Z827" i="4" s="1"/>
  <c r="X875" i="4"/>
  <c r="AD875" i="4"/>
  <c r="J875" i="4"/>
  <c r="AC875" i="4" s="1"/>
  <c r="I875" i="4"/>
  <c r="Z875" i="4" s="1"/>
  <c r="Y875" i="4" s="1"/>
  <c r="G921" i="4"/>
  <c r="I940" i="4"/>
  <c r="Z940" i="4" s="1"/>
  <c r="Y940" i="4" s="1"/>
  <c r="K940" i="4"/>
  <c r="AF940" i="4" s="1"/>
  <c r="AE940" i="4" s="1"/>
  <c r="J940" i="4"/>
  <c r="AC940" i="4" s="1"/>
  <c r="AB940" i="4" s="1"/>
  <c r="K943" i="4"/>
  <c r="AF943" i="4" s="1"/>
  <c r="AE943" i="4" s="1"/>
  <c r="J943" i="4"/>
  <c r="AC943" i="4" s="1"/>
  <c r="AB943" i="4" s="1"/>
  <c r="I943" i="4"/>
  <c r="Z943" i="4" s="1"/>
  <c r="Y943" i="4" s="1"/>
  <c r="X959" i="4"/>
  <c r="Y959" i="4" s="1"/>
  <c r="H959" i="4"/>
  <c r="Z959" i="4" s="1"/>
  <c r="Y986" i="4"/>
  <c r="X989" i="4"/>
  <c r="H989" i="4"/>
  <c r="Z989" i="4" s="1"/>
  <c r="J1072" i="4"/>
  <c r="Z1072" i="4" s="1"/>
  <c r="Y1072" i="4" s="1"/>
  <c r="H1072" i="4"/>
  <c r="AC1072" i="4" s="1"/>
  <c r="AB1072" i="4" s="1"/>
  <c r="L1128" i="4"/>
  <c r="L1129" i="4" s="1"/>
  <c r="H1139" i="4"/>
  <c r="H1141" i="4" s="1"/>
  <c r="Z1149" i="4"/>
  <c r="X1149" i="4"/>
  <c r="M1160" i="4"/>
  <c r="AC1160" i="4" s="1"/>
  <c r="M1159" i="4"/>
  <c r="M1161" i="4"/>
  <c r="K1167" i="4"/>
  <c r="AF1167" i="4" s="1"/>
  <c r="AE1167" i="4" s="1"/>
  <c r="I1167" i="4"/>
  <c r="Z1167" i="4" s="1"/>
  <c r="Y1167" i="4" s="1"/>
  <c r="K1169" i="4"/>
  <c r="AF1169" i="4" s="1"/>
  <c r="AE1169" i="4" s="1"/>
  <c r="J1169" i="4"/>
  <c r="AC1169" i="4" s="1"/>
  <c r="AB1169" i="4" s="1"/>
  <c r="I1169" i="4"/>
  <c r="Z1169" i="4" s="1"/>
  <c r="Y1169" i="4" s="1"/>
  <c r="AE1197" i="4"/>
  <c r="L1232" i="4"/>
  <c r="J1232" i="4"/>
  <c r="L1233" i="4"/>
  <c r="L1235" i="4" s="1"/>
  <c r="J1233" i="4"/>
  <c r="L1234" i="4"/>
  <c r="J1234" i="4"/>
  <c r="J1289" i="4"/>
  <c r="X1289" i="4" s="1"/>
  <c r="Z1283" i="4"/>
  <c r="Y1283" i="4" s="1"/>
  <c r="L1289" i="4"/>
  <c r="AF1283" i="4"/>
  <c r="O1295" i="4"/>
  <c r="S1295" i="4" s="1"/>
  <c r="N1295" i="4"/>
  <c r="AB1295" i="4" s="1"/>
  <c r="O1296" i="4"/>
  <c r="S1296" i="4" s="1"/>
  <c r="AE1296" i="4" s="1"/>
  <c r="AF1296" i="4" s="1"/>
  <c r="N1296" i="4"/>
  <c r="AB1296" i="4" s="1"/>
  <c r="AC1296" i="4" s="1"/>
  <c r="O1297" i="4"/>
  <c r="S1297" i="4" s="1"/>
  <c r="AE1297" i="4" s="1"/>
  <c r="AF1297" i="4" s="1"/>
  <c r="N1297" i="4"/>
  <c r="Z1297" i="4"/>
  <c r="O1298" i="4"/>
  <c r="S1298" i="4" s="1"/>
  <c r="AE1298" i="4" s="1"/>
  <c r="N1298" i="4"/>
  <c r="AB1298" i="4" s="1"/>
  <c r="AC1298" i="4" s="1"/>
  <c r="O1300" i="4"/>
  <c r="S1300" i="4" s="1"/>
  <c r="AE1300" i="4" s="1"/>
  <c r="N1300" i="4"/>
  <c r="AB1300" i="4" s="1"/>
  <c r="AC1300" i="4" s="1"/>
  <c r="O1302" i="4"/>
  <c r="S1302" i="4" s="1"/>
  <c r="AE1302" i="4" s="1"/>
  <c r="AF1302" i="4" s="1"/>
  <c r="N1302" i="4"/>
  <c r="AB1302" i="4" s="1"/>
  <c r="AC1302" i="4" s="1"/>
  <c r="O1304" i="4"/>
  <c r="S1304" i="4" s="1"/>
  <c r="AE1304" i="4" s="1"/>
  <c r="N1304" i="4"/>
  <c r="AB1304" i="4" s="1"/>
  <c r="AC1304" i="4" s="1"/>
  <c r="AF1304" i="4"/>
  <c r="Z1305" i="4"/>
  <c r="O1306" i="4"/>
  <c r="S1306" i="4" s="1"/>
  <c r="AE1306" i="4" s="1"/>
  <c r="AF1306" i="4" s="1"/>
  <c r="N1306" i="4"/>
  <c r="AB1306" i="4" s="1"/>
  <c r="AC1306" i="4" s="1"/>
  <c r="L1316" i="4"/>
  <c r="AF1316" i="4" s="1"/>
  <c r="AE1316" i="4" s="1"/>
  <c r="K1316" i="4"/>
  <c r="K1324" i="4" s="1"/>
  <c r="AC1324" i="4" s="1"/>
  <c r="AB1324" i="4" s="1"/>
  <c r="J1316" i="4"/>
  <c r="AE1324" i="4"/>
  <c r="J1373" i="4"/>
  <c r="AB1373" i="4" s="1"/>
  <c r="K1373" i="4"/>
  <c r="AE1373" i="4" s="1"/>
  <c r="I1373" i="4"/>
  <c r="Y1373" i="4" s="1"/>
  <c r="Z1373" i="4" s="1"/>
  <c r="K1403" i="4"/>
  <c r="J1403" i="4"/>
  <c r="I1403" i="4"/>
  <c r="K1415" i="4"/>
  <c r="I1415" i="4"/>
  <c r="K1423" i="4"/>
  <c r="I1423" i="4"/>
  <c r="K1438" i="4"/>
  <c r="I1438" i="4"/>
  <c r="K1444" i="4"/>
  <c r="I1444" i="4"/>
  <c r="K96" i="6"/>
  <c r="K95" i="6"/>
  <c r="F66" i="7"/>
  <c r="G63" i="7"/>
  <c r="L79" i="3"/>
  <c r="N79" i="3"/>
  <c r="F758" i="4"/>
  <c r="Z751" i="4"/>
  <c r="Y751" i="4" s="1"/>
  <c r="AC763" i="4"/>
  <c r="AB763" i="4" s="1"/>
  <c r="Z763" i="4"/>
  <c r="Y763" i="4" s="1"/>
  <c r="AC767" i="4"/>
  <c r="AB767" i="4" s="1"/>
  <c r="Z767" i="4"/>
  <c r="Y767" i="4" s="1"/>
  <c r="AC771" i="4"/>
  <c r="AB771" i="4" s="1"/>
  <c r="Z771" i="4"/>
  <c r="Y771" i="4" s="1"/>
  <c r="N7" i="1"/>
  <c r="N8" i="1"/>
  <c r="N12" i="1"/>
  <c r="J261" i="2"/>
  <c r="J102" i="2"/>
  <c r="Q43" i="3"/>
  <c r="R43" i="3" s="1"/>
  <c r="M9" i="1"/>
  <c r="N14" i="1"/>
  <c r="E267" i="2"/>
  <c r="I267" i="2" s="1"/>
  <c r="J267" i="2" s="1"/>
  <c r="E108" i="2"/>
  <c r="I108" i="2" s="1"/>
  <c r="J108" i="2" s="1"/>
  <c r="E145" i="2"/>
  <c r="I145" i="2" s="1"/>
  <c r="J145" i="2" s="1"/>
  <c r="E89" i="2"/>
  <c r="I89" i="2" s="1"/>
  <c r="J89" i="2" s="1"/>
  <c r="E53" i="2"/>
  <c r="I53" i="2" s="1"/>
  <c r="J53" i="2" s="1"/>
  <c r="F13" i="2"/>
  <c r="I52" i="2"/>
  <c r="J52" i="2" s="1"/>
  <c r="E70" i="2"/>
  <c r="I70" i="2" s="1"/>
  <c r="J70" i="2" s="1"/>
  <c r="E125" i="2"/>
  <c r="I125" i="2" s="1"/>
  <c r="E829" i="4"/>
  <c r="E822" i="4"/>
  <c r="E864" i="4"/>
  <c r="AC65" i="4"/>
  <c r="AB65" i="4" s="1"/>
  <c r="X83" i="4"/>
  <c r="H83" i="4"/>
  <c r="J89" i="4"/>
  <c r="I89" i="4"/>
  <c r="K109" i="4"/>
  <c r="J109" i="4"/>
  <c r="I109" i="4"/>
  <c r="Y109" i="4" s="1"/>
  <c r="AD113" i="4"/>
  <c r="K130" i="4"/>
  <c r="J130" i="4"/>
  <c r="I130" i="4"/>
  <c r="Y130" i="4" s="1"/>
  <c r="AD131" i="4"/>
  <c r="K137" i="4"/>
  <c r="J137" i="4"/>
  <c r="I137" i="4"/>
  <c r="H158" i="4"/>
  <c r="H157" i="4"/>
  <c r="X167" i="4"/>
  <c r="H167" i="4"/>
  <c r="AA171" i="4"/>
  <c r="AD176" i="4"/>
  <c r="K185" i="4"/>
  <c r="J185" i="4"/>
  <c r="I185" i="4"/>
  <c r="I54" i="2"/>
  <c r="I65" i="2"/>
  <c r="J65" i="2" s="1"/>
  <c r="I123" i="2"/>
  <c r="J157" i="2"/>
  <c r="I171" i="2"/>
  <c r="I183" i="2"/>
  <c r="I185" i="2" s="1"/>
  <c r="I194" i="2"/>
  <c r="I207" i="2"/>
  <c r="I211" i="2" s="1"/>
  <c r="Y782" i="4"/>
  <c r="AB782" i="4"/>
  <c r="J238" i="4"/>
  <c r="AB238" i="4" s="1"/>
  <c r="AC238" i="4" s="1"/>
  <c r="I238" i="4"/>
  <c r="Y238" i="4" s="1"/>
  <c r="K238" i="4"/>
  <c r="AE238" i="4" s="1"/>
  <c r="AF238" i="4" s="1"/>
  <c r="M79" i="3"/>
  <c r="Z68" i="4"/>
  <c r="X81" i="4"/>
  <c r="H81" i="4"/>
  <c r="K89" i="4"/>
  <c r="X93" i="4"/>
  <c r="H93" i="4"/>
  <c r="X87" i="4"/>
  <c r="AA95" i="4"/>
  <c r="X106" i="4"/>
  <c r="AA109" i="4"/>
  <c r="Z109" i="4"/>
  <c r="AB113" i="4"/>
  <c r="AC113" i="4" s="1"/>
  <c r="K116" i="4"/>
  <c r="J116" i="4"/>
  <c r="I116" i="4"/>
  <c r="X127" i="4"/>
  <c r="H127" i="4"/>
  <c r="AF129" i="4"/>
  <c r="AA130" i="4"/>
  <c r="Z130" i="4"/>
  <c r="AB131" i="4"/>
  <c r="AC131" i="4" s="1"/>
  <c r="AF136" i="4"/>
  <c r="AA173" i="4"/>
  <c r="Y173" i="4"/>
  <c r="Z173" i="4" s="1"/>
  <c r="J190" i="4"/>
  <c r="AB190" i="4" s="1"/>
  <c r="I190" i="4"/>
  <c r="K190" i="4"/>
  <c r="G122" i="2"/>
  <c r="I122" i="2" s="1"/>
  <c r="I144" i="2"/>
  <c r="J144" i="2" s="1"/>
  <c r="I159" i="2"/>
  <c r="J159" i="2" s="1"/>
  <c r="I173" i="2"/>
  <c r="I196" i="2"/>
  <c r="J87" i="4"/>
  <c r="I87" i="4"/>
  <c r="AD94" i="4"/>
  <c r="AE94" i="4" s="1"/>
  <c r="X104" i="4"/>
  <c r="H104" i="4"/>
  <c r="AD107" i="4"/>
  <c r="AC111" i="4"/>
  <c r="AD111" i="4"/>
  <c r="AF115" i="4"/>
  <c r="X125" i="4"/>
  <c r="H125" i="4"/>
  <c r="AD128" i="4"/>
  <c r="AE128" i="4" s="1"/>
  <c r="AC132" i="4"/>
  <c r="AD132" i="4"/>
  <c r="AD135" i="4"/>
  <c r="AD138" i="4"/>
  <c r="AB173" i="4"/>
  <c r="AC190" i="4"/>
  <c r="I69" i="2"/>
  <c r="J69" i="2" s="1"/>
  <c r="I84" i="2"/>
  <c r="J84" i="2" s="1"/>
  <c r="I107" i="2"/>
  <c r="J107" i="2" s="1"/>
  <c r="I124" i="2"/>
  <c r="J138" i="2"/>
  <c r="I172" i="2"/>
  <c r="I195" i="2"/>
  <c r="I224" i="2"/>
  <c r="I263" i="2"/>
  <c r="J263" i="2" s="1"/>
  <c r="X85" i="4"/>
  <c r="H85" i="4"/>
  <c r="K87" i="4"/>
  <c r="AB94" i="4"/>
  <c r="AC94" i="4" s="1"/>
  <c r="AB107" i="4"/>
  <c r="AC107" i="4" s="1"/>
  <c r="AE108" i="4"/>
  <c r="AF108" i="4" s="1"/>
  <c r="Y111" i="4"/>
  <c r="Z111" i="4" s="1"/>
  <c r="AD114" i="4"/>
  <c r="AD117" i="4"/>
  <c r="AB128" i="4"/>
  <c r="AC128" i="4" s="1"/>
  <c r="Y132" i="4"/>
  <c r="Z132" i="4" s="1"/>
  <c r="AD134" i="4"/>
  <c r="AC134" i="4"/>
  <c r="AB135" i="4"/>
  <c r="AC135" i="4" s="1"/>
  <c r="AA169" i="4"/>
  <c r="AD170" i="4"/>
  <c r="AD172" i="4"/>
  <c r="AE172" i="4" s="1"/>
  <c r="AD175" i="4"/>
  <c r="K187" i="4"/>
  <c r="J187" i="4"/>
  <c r="I187" i="4"/>
  <c r="Y187" i="4" s="1"/>
  <c r="Z187" i="4" s="1"/>
  <c r="AA191" i="4"/>
  <c r="AD191" i="4"/>
  <c r="AA186" i="4"/>
  <c r="AA188" i="4"/>
  <c r="AD203" i="4"/>
  <c r="X203" i="4"/>
  <c r="H203" i="4"/>
  <c r="AA203" i="4"/>
  <c r="X1370" i="4"/>
  <c r="X1368" i="4"/>
  <c r="X234" i="4"/>
  <c r="H234" i="4"/>
  <c r="H236" i="4"/>
  <c r="AA253" i="4"/>
  <c r="K268" i="4"/>
  <c r="J268" i="4"/>
  <c r="I268" i="4"/>
  <c r="Y268" i="4" s="1"/>
  <c r="X282" i="4"/>
  <c r="H282" i="4"/>
  <c r="AC294" i="4"/>
  <c r="AD411" i="4"/>
  <c r="X461" i="4"/>
  <c r="H461" i="4"/>
  <c r="G1445" i="4"/>
  <c r="H1445" i="4" s="1"/>
  <c r="G1435" i="4"/>
  <c r="H1435" i="4" s="1"/>
  <c r="G1394" i="4"/>
  <c r="H1394" i="4" s="1"/>
  <c r="G1441" i="4"/>
  <c r="H1441" i="4" s="1"/>
  <c r="G1434" i="4"/>
  <c r="H1434" i="4" s="1"/>
  <c r="G1420" i="4"/>
  <c r="H1420" i="4" s="1"/>
  <c r="G1414" i="4"/>
  <c r="H1414" i="4" s="1"/>
  <c r="G1401" i="4"/>
  <c r="H1401" i="4" s="1"/>
  <c r="G1397" i="4"/>
  <c r="H1397" i="4" s="1"/>
  <c r="G1393" i="4"/>
  <c r="H1393" i="4" s="1"/>
  <c r="G1437" i="4"/>
  <c r="H1437" i="4" s="1"/>
  <c r="G1433" i="4"/>
  <c r="H1433" i="4" s="1"/>
  <c r="G1422" i="4"/>
  <c r="G1413" i="4"/>
  <c r="H1413" i="4" s="1"/>
  <c r="G1400" i="4"/>
  <c r="H1400" i="4" s="1"/>
  <c r="G1396" i="4"/>
  <c r="H1396" i="4" s="1"/>
  <c r="G1412" i="4"/>
  <c r="H1412" i="4" s="1"/>
  <c r="G1363" i="4"/>
  <c r="G1395" i="4"/>
  <c r="H1395" i="4" s="1"/>
  <c r="G1372" i="4"/>
  <c r="G1366" i="4"/>
  <c r="G1365" i="4"/>
  <c r="X1365" i="4" s="1"/>
  <c r="G1402" i="4"/>
  <c r="G1364" i="4"/>
  <c r="X1364" i="4" s="1"/>
  <c r="F714" i="4"/>
  <c r="G690" i="4"/>
  <c r="G638" i="4"/>
  <c r="G654" i="4"/>
  <c r="G652" i="4"/>
  <c r="G650" i="4"/>
  <c r="G627" i="4"/>
  <c r="G621" i="4"/>
  <c r="G701" i="4"/>
  <c r="G639" i="4"/>
  <c r="G612" i="4"/>
  <c r="G610" i="4"/>
  <c r="G608" i="4"/>
  <c r="G606" i="4"/>
  <c r="G602" i="4"/>
  <c r="G592" i="4"/>
  <c r="G590" i="4"/>
  <c r="G588" i="4"/>
  <c r="G584" i="4"/>
  <c r="G570" i="4"/>
  <c r="G532" i="4"/>
  <c r="H532" i="4" s="1"/>
  <c r="G515" i="4"/>
  <c r="G511" i="4"/>
  <c r="H511" i="4" s="1"/>
  <c r="G509" i="4"/>
  <c r="G679" i="4"/>
  <c r="G668" i="4"/>
  <c r="G651" i="4"/>
  <c r="G622" i="4"/>
  <c r="G557" i="4"/>
  <c r="G542" i="4"/>
  <c r="G526" i="4"/>
  <c r="X516" i="4"/>
  <c r="X514" i="4"/>
  <c r="X512" i="4"/>
  <c r="G467" i="4"/>
  <c r="G657" i="4"/>
  <c r="G611" i="4"/>
  <c r="G609" i="4"/>
  <c r="G607" i="4"/>
  <c r="G603" i="4"/>
  <c r="G593" i="4"/>
  <c r="G591" i="4"/>
  <c r="G589" i="4"/>
  <c r="G587" i="4"/>
  <c r="G583" i="4"/>
  <c r="G575" i="4"/>
  <c r="G569" i="4"/>
  <c r="G531" i="4"/>
  <c r="G529" i="4"/>
  <c r="G516" i="4"/>
  <c r="H516" i="4" s="1"/>
  <c r="G514" i="4"/>
  <c r="H514" i="4" s="1"/>
  <c r="G512" i="4"/>
  <c r="H512" i="4" s="1"/>
  <c r="G510" i="4"/>
  <c r="G667" i="4"/>
  <c r="G653" i="4"/>
  <c r="G630" i="4"/>
  <c r="G545" i="4"/>
  <c r="G541" i="4"/>
  <c r="G446" i="4"/>
  <c r="G414" i="4"/>
  <c r="G379" i="4"/>
  <c r="G375" i="4"/>
  <c r="G353" i="4"/>
  <c r="G464" i="4"/>
  <c r="G458" i="4"/>
  <c r="G434" i="4"/>
  <c r="G373" i="4"/>
  <c r="G371" i="4"/>
  <c r="G369" i="4"/>
  <c r="X511" i="4"/>
  <c r="G447" i="4"/>
  <c r="G399" i="4"/>
  <c r="G394" i="4"/>
  <c r="G393" i="4"/>
  <c r="G378" i="4"/>
  <c r="G374" i="4"/>
  <c r="G354" i="4"/>
  <c r="X532" i="4"/>
  <c r="G372" i="4"/>
  <c r="G347" i="4"/>
  <c r="G333" i="4"/>
  <c r="G305" i="4"/>
  <c r="G293" i="4"/>
  <c r="G266" i="4"/>
  <c r="G257" i="4"/>
  <c r="G255" i="4"/>
  <c r="G215" i="4"/>
  <c r="H215" i="4" s="1"/>
  <c r="G391" i="4"/>
  <c r="G389" i="4"/>
  <c r="G348" i="4"/>
  <c r="G335" i="4"/>
  <c r="G283" i="4"/>
  <c r="G281" i="4"/>
  <c r="G279" i="4"/>
  <c r="G251" i="4"/>
  <c r="G249" i="4"/>
  <c r="G459" i="4"/>
  <c r="G423" i="4"/>
  <c r="G398" i="4"/>
  <c r="X398" i="4" s="1"/>
  <c r="G349" i="4"/>
  <c r="G336" i="4"/>
  <c r="G334" i="4"/>
  <c r="G292" i="4"/>
  <c r="G256" i="4"/>
  <c r="G230" i="4"/>
  <c r="G229" i="4"/>
  <c r="G228" i="4"/>
  <c r="G227" i="4"/>
  <c r="G214" i="4"/>
  <c r="J88" i="4"/>
  <c r="AB88" i="4" s="1"/>
  <c r="AC88" i="4" s="1"/>
  <c r="X89" i="4"/>
  <c r="J90" i="4"/>
  <c r="AB90" i="4" s="1"/>
  <c r="AC90" i="4" s="1"/>
  <c r="J108" i="4"/>
  <c r="AB108" i="4" s="1"/>
  <c r="AC108" i="4" s="1"/>
  <c r="Z108" i="4"/>
  <c r="X110" i="4"/>
  <c r="K111" i="4"/>
  <c r="AE111" i="4" s="1"/>
  <c r="J115" i="4"/>
  <c r="AB115" i="4" s="1"/>
  <c r="AC115" i="4" s="1"/>
  <c r="Z115" i="4"/>
  <c r="J129" i="4"/>
  <c r="AB129" i="4" s="1"/>
  <c r="AC129" i="4" s="1"/>
  <c r="Z129" i="4"/>
  <c r="K132" i="4"/>
  <c r="AE132" i="4" s="1"/>
  <c r="J136" i="4"/>
  <c r="AB136" i="4" s="1"/>
  <c r="AC136" i="4" s="1"/>
  <c r="Z136" i="4"/>
  <c r="G165" i="4"/>
  <c r="H169" i="4"/>
  <c r="I170" i="4"/>
  <c r="Y170" i="4" s="1"/>
  <c r="I172" i="4"/>
  <c r="Y172" i="4" s="1"/>
  <c r="K173" i="4"/>
  <c r="G175" i="4"/>
  <c r="H175" i="4" s="1"/>
  <c r="AD185" i="4"/>
  <c r="H186" i="4"/>
  <c r="X186" i="4"/>
  <c r="AD187" i="4"/>
  <c r="H188" i="4"/>
  <c r="X188" i="4"/>
  <c r="AD189" i="4"/>
  <c r="X190" i="4"/>
  <c r="K200" i="4"/>
  <c r="H202" i="4"/>
  <c r="AD202" i="4"/>
  <c r="AA202" i="4"/>
  <c r="X206" i="4"/>
  <c r="H206" i="4"/>
  <c r="AD206" i="4"/>
  <c r="AA206" i="4"/>
  <c r="X252" i="4"/>
  <c r="H252" i="4"/>
  <c r="AA268" i="4"/>
  <c r="Z268" i="4"/>
  <c r="G280" i="4"/>
  <c r="AF294" i="4"/>
  <c r="K355" i="4"/>
  <c r="AE355" i="4" s="1"/>
  <c r="AF355" i="4" s="1"/>
  <c r="J355" i="4"/>
  <c r="AB355" i="4" s="1"/>
  <c r="G390" i="4"/>
  <c r="H390" i="4" s="1"/>
  <c r="AA448" i="4"/>
  <c r="AA462" i="4"/>
  <c r="K530" i="4"/>
  <c r="J530" i="4"/>
  <c r="I530" i="4"/>
  <c r="Y530" i="4" s="1"/>
  <c r="Z530" i="4" s="1"/>
  <c r="G80" i="4"/>
  <c r="G82" i="4"/>
  <c r="G84" i="4"/>
  <c r="G86" i="4"/>
  <c r="G92" i="4"/>
  <c r="G105" i="4"/>
  <c r="G126" i="4"/>
  <c r="G168" i="4"/>
  <c r="J170" i="4"/>
  <c r="AB170" i="4" s="1"/>
  <c r="AC170" i="4" s="1"/>
  <c r="Z170" i="4"/>
  <c r="H171" i="4"/>
  <c r="J172" i="4"/>
  <c r="AB172" i="4" s="1"/>
  <c r="AC172" i="4" s="1"/>
  <c r="Z172" i="4"/>
  <c r="AA185" i="4"/>
  <c r="AA187" i="4"/>
  <c r="G189" i="4"/>
  <c r="H189" i="4" s="1"/>
  <c r="AA189" i="4"/>
  <c r="G201" i="4"/>
  <c r="G205" i="4"/>
  <c r="H205" i="4" s="1"/>
  <c r="AA205" i="4"/>
  <c r="I216" i="4"/>
  <c r="Y216" i="4" s="1"/>
  <c r="Z216" i="4" s="1"/>
  <c r="K216" i="4"/>
  <c r="K217" i="4"/>
  <c r="I217" i="4"/>
  <c r="Y217" i="4" s="1"/>
  <c r="Z217" i="4" s="1"/>
  <c r="G219" i="4"/>
  <c r="AA231" i="4"/>
  <c r="X232" i="4"/>
  <c r="G235" i="4"/>
  <c r="G237" i="4"/>
  <c r="H237" i="4" s="1"/>
  <c r="Z238" i="4"/>
  <c r="G250" i="4"/>
  <c r="AD271" i="4"/>
  <c r="AA352" i="4"/>
  <c r="I356" i="4"/>
  <c r="Y356" i="4" s="1"/>
  <c r="K356" i="4"/>
  <c r="AE356" i="4" s="1"/>
  <c r="AF356" i="4" s="1"/>
  <c r="J356" i="4"/>
  <c r="AB356" i="4" s="1"/>
  <c r="K412" i="4"/>
  <c r="AE412" i="4" s="1"/>
  <c r="AF412" i="4" s="1"/>
  <c r="J412" i="4"/>
  <c r="AB412" i="4" s="1"/>
  <c r="I412" i="4"/>
  <c r="Y412" i="4" s="1"/>
  <c r="Z412" i="4" s="1"/>
  <c r="X463" i="4"/>
  <c r="H463" i="4"/>
  <c r="K513" i="4"/>
  <c r="J513" i="4"/>
  <c r="I513" i="4"/>
  <c r="Y513" i="4" s="1"/>
  <c r="K528" i="4"/>
  <c r="J528" i="4"/>
  <c r="I528" i="4"/>
  <c r="AA573" i="4"/>
  <c r="G1369" i="4"/>
  <c r="H1369" i="4" s="1"/>
  <c r="G1375" i="4"/>
  <c r="H1375" i="4" s="1"/>
  <c r="G1374" i="4"/>
  <c r="G702" i="4"/>
  <c r="F715" i="4"/>
  <c r="X623" i="4"/>
  <c r="G658" i="4"/>
  <c r="G623" i="4"/>
  <c r="H623" i="4" s="1"/>
  <c r="G574" i="4"/>
  <c r="G540" i="4"/>
  <c r="H540" i="4" s="1"/>
  <c r="G571" i="4"/>
  <c r="X460" i="4"/>
  <c r="G410" i="4"/>
  <c r="G397" i="4"/>
  <c r="X390" i="4"/>
  <c r="X388" i="4"/>
  <c r="G558" i="4"/>
  <c r="G543" i="4"/>
  <c r="H543" i="4" s="1"/>
  <c r="G460" i="4"/>
  <c r="H460" i="4" s="1"/>
  <c r="X397" i="4"/>
  <c r="X399" i="4"/>
  <c r="G270" i="4"/>
  <c r="H270" i="4" s="1"/>
  <c r="AD205" i="4"/>
  <c r="X204" i="4"/>
  <c r="G306" i="4"/>
  <c r="G267" i="4"/>
  <c r="X205" i="4"/>
  <c r="AD204" i="4"/>
  <c r="G112" i="4"/>
  <c r="G133" i="4"/>
  <c r="G174" i="4"/>
  <c r="G176" i="4"/>
  <c r="H176" i="4" s="1"/>
  <c r="X185" i="4"/>
  <c r="X189" i="4"/>
  <c r="AD190" i="4"/>
  <c r="H191" i="4"/>
  <c r="X202" i="4"/>
  <c r="X200" i="4"/>
  <c r="Y200" i="4" s="1"/>
  <c r="AD200" i="4"/>
  <c r="AA200" i="4"/>
  <c r="G204" i="4"/>
  <c r="H204" i="4" s="1"/>
  <c r="AA204" i="4"/>
  <c r="AD215" i="4"/>
  <c r="J216" i="4"/>
  <c r="AB216" i="4" s="1"/>
  <c r="AC216" i="4" s="1"/>
  <c r="AD216" i="4"/>
  <c r="J217" i="4"/>
  <c r="AB217" i="4" s="1"/>
  <c r="AC217" i="4" s="1"/>
  <c r="AD217" i="4"/>
  <c r="G248" i="4"/>
  <c r="K253" i="4"/>
  <c r="J253" i="4"/>
  <c r="AB253" i="4" s="1"/>
  <c r="I253" i="4"/>
  <c r="Y253" i="4" s="1"/>
  <c r="Z253" i="4" s="1"/>
  <c r="X270" i="4"/>
  <c r="AA295" i="4"/>
  <c r="X296" i="4"/>
  <c r="H296" i="4"/>
  <c r="K307" i="4"/>
  <c r="AE307" i="4" s="1"/>
  <c r="AF307" i="4" s="1"/>
  <c r="J307" i="4"/>
  <c r="AB307" i="4" s="1"/>
  <c r="AC307" i="4" s="1"/>
  <c r="I307" i="4"/>
  <c r="Y307" i="4" s="1"/>
  <c r="Z307" i="4" s="1"/>
  <c r="H325" i="4"/>
  <c r="G337" i="4"/>
  <c r="K357" i="4"/>
  <c r="AE357" i="4" s="1"/>
  <c r="AF357" i="4" s="1"/>
  <c r="I357" i="4"/>
  <c r="Y357" i="4" s="1"/>
  <c r="J357" i="4"/>
  <c r="G370" i="4"/>
  <c r="G388" i="4"/>
  <c r="H388" i="4" s="1"/>
  <c r="H392" i="4"/>
  <c r="F395" i="4"/>
  <c r="X1369" i="4"/>
  <c r="X1367" i="4"/>
  <c r="K231" i="4"/>
  <c r="K232" i="4"/>
  <c r="K254" i="4"/>
  <c r="AE254" i="4" s="1"/>
  <c r="AF254" i="4" s="1"/>
  <c r="K258" i="4"/>
  <c r="K269" i="4"/>
  <c r="K308" i="4"/>
  <c r="AE308" i="4" s="1"/>
  <c r="AF308" i="4" s="1"/>
  <c r="AA392" i="4"/>
  <c r="AD401" i="4"/>
  <c r="K411" i="4"/>
  <c r="AE411" i="4" s="1"/>
  <c r="J411" i="4"/>
  <c r="AB411" i="4" s="1"/>
  <c r="AC411" i="4" s="1"/>
  <c r="I411" i="4"/>
  <c r="Y411" i="4" s="1"/>
  <c r="Z411" i="4" s="1"/>
  <c r="X424" i="4"/>
  <c r="AA424" i="4"/>
  <c r="K424" i="4"/>
  <c r="AD424" i="4"/>
  <c r="J424" i="4"/>
  <c r="AB424" i="4" s="1"/>
  <c r="X436" i="4"/>
  <c r="AD425" i="4"/>
  <c r="AA436" i="4"/>
  <c r="AD436" i="4"/>
  <c r="X425" i="4"/>
  <c r="H425" i="4"/>
  <c r="K450" i="4"/>
  <c r="J450" i="4"/>
  <c r="I450" i="4"/>
  <c r="Y450" i="4" s="1"/>
  <c r="AD466" i="4"/>
  <c r="I352" i="4"/>
  <c r="Y352" i="4" s="1"/>
  <c r="Z352" i="4" s="1"/>
  <c r="K352" i="4"/>
  <c r="AE352" i="4" s="1"/>
  <c r="AF352" i="4" s="1"/>
  <c r="AC355" i="4"/>
  <c r="AC356" i="4"/>
  <c r="AA357" i="4"/>
  <c r="Z357" i="4"/>
  <c r="AC358" i="4"/>
  <c r="H374" i="4"/>
  <c r="AA396" i="4"/>
  <c r="AA400" i="4"/>
  <c r="AD435" i="4"/>
  <c r="J435" i="4"/>
  <c r="AB435" i="4" s="1"/>
  <c r="AC435" i="4" s="1"/>
  <c r="I435" i="4"/>
  <c r="X435" i="4"/>
  <c r="K436" i="4"/>
  <c r="AE436" i="4" s="1"/>
  <c r="J436" i="4"/>
  <c r="AB436" i="4" s="1"/>
  <c r="AA450" i="4"/>
  <c r="Z450" i="4"/>
  <c r="AD548" i="4"/>
  <c r="AD560" i="4"/>
  <c r="X560" i="4"/>
  <c r="H560" i="4"/>
  <c r="AA560" i="4"/>
  <c r="J572" i="4"/>
  <c r="X233" i="4"/>
  <c r="H295" i="4"/>
  <c r="AD351" i="4"/>
  <c r="X351" i="4"/>
  <c r="H351" i="4"/>
  <c r="J352" i="4"/>
  <c r="AB352" i="4" s="1"/>
  <c r="Z356" i="4"/>
  <c r="AF358" i="4"/>
  <c r="AA395" i="4"/>
  <c r="AC412" i="4"/>
  <c r="K413" i="4"/>
  <c r="AE413" i="4" s="1"/>
  <c r="AF413" i="4" s="1"/>
  <c r="J413" i="4"/>
  <c r="AB413" i="4" s="1"/>
  <c r="AC413" i="4" s="1"/>
  <c r="I413" i="4"/>
  <c r="Y413" i="4" s="1"/>
  <c r="Z413" i="4" s="1"/>
  <c r="AA425" i="4"/>
  <c r="K435" i="4"/>
  <c r="AE435" i="4" s="1"/>
  <c r="I436" i="4"/>
  <c r="Y436" i="4" s="1"/>
  <c r="AA437" i="4"/>
  <c r="K448" i="4"/>
  <c r="X449" i="4"/>
  <c r="Y449" i="4" s="1"/>
  <c r="J448" i="4"/>
  <c r="AB448" i="4" s="1"/>
  <c r="I448" i="4"/>
  <c r="Y448" i="4" s="1"/>
  <c r="Z448" i="4" s="1"/>
  <c r="X465" i="4"/>
  <c r="H465" i="4"/>
  <c r="AA517" i="4"/>
  <c r="K359" i="4"/>
  <c r="AE359" i="4" s="1"/>
  <c r="AF359" i="4" s="1"/>
  <c r="K376" i="4"/>
  <c r="AE376" i="4" s="1"/>
  <c r="AF376" i="4" s="1"/>
  <c r="K449" i="4"/>
  <c r="AA513" i="4"/>
  <c r="Z513" i="4"/>
  <c r="AA528" i="4"/>
  <c r="AA530" i="4"/>
  <c r="X544" i="4"/>
  <c r="X547" i="4"/>
  <c r="H547" i="4"/>
  <c r="AA572" i="4"/>
  <c r="AA576" i="4"/>
  <c r="J655" i="4"/>
  <c r="I655" i="4"/>
  <c r="K655" i="4"/>
  <c r="Z475" i="4"/>
  <c r="X477" i="4"/>
  <c r="I477" i="4"/>
  <c r="Y477" i="4" s="1"/>
  <c r="Z479" i="4"/>
  <c r="I527" i="4"/>
  <c r="Y527" i="4" s="1"/>
  <c r="Z527" i="4" s="1"/>
  <c r="K527" i="4"/>
  <c r="AE527" i="4" s="1"/>
  <c r="AF527" i="4" s="1"/>
  <c r="AD549" i="4"/>
  <c r="J560" i="4"/>
  <c r="AB560" i="4" s="1"/>
  <c r="K586" i="4"/>
  <c r="J586" i="4"/>
  <c r="AB586" i="4" s="1"/>
  <c r="AC586" i="4" s="1"/>
  <c r="I586" i="4"/>
  <c r="I605" i="4"/>
  <c r="K605" i="4"/>
  <c r="J605" i="4"/>
  <c r="AD641" i="4"/>
  <c r="H462" i="4"/>
  <c r="H466" i="4"/>
  <c r="K517" i="4"/>
  <c r="J517" i="4"/>
  <c r="I517" i="4"/>
  <c r="AD518" i="4"/>
  <c r="AC527" i="4"/>
  <c r="AD561" i="4"/>
  <c r="AD594" i="4"/>
  <c r="AA624" i="4"/>
  <c r="AE641" i="4"/>
  <c r="J626" i="4"/>
  <c r="I626" i="4"/>
  <c r="Y626" i="4" s="1"/>
  <c r="AA642" i="4"/>
  <c r="X676" i="4"/>
  <c r="H676" i="4"/>
  <c r="X678" i="4"/>
  <c r="H678" i="4"/>
  <c r="X703" i="4"/>
  <c r="H703" i="4"/>
  <c r="Z762" i="4"/>
  <c r="Y762" i="4" s="1"/>
  <c r="AC762" i="4"/>
  <c r="AB762" i="4" s="1"/>
  <c r="AF762" i="4"/>
  <c r="AE762" i="4" s="1"/>
  <c r="F774" i="4"/>
  <c r="Z769" i="4"/>
  <c r="Y769" i="4" s="1"/>
  <c r="AC769" i="4"/>
  <c r="AB769" i="4" s="1"/>
  <c r="AF769" i="4"/>
  <c r="AE769" i="4" s="1"/>
  <c r="Y820" i="4"/>
  <c r="G922" i="4"/>
  <c r="G923" i="4" s="1"/>
  <c r="J544" i="4"/>
  <c r="J546" i="4"/>
  <c r="AB546" i="4" s="1"/>
  <c r="AC546" i="4" s="1"/>
  <c r="J548" i="4"/>
  <c r="AB548" i="4" s="1"/>
  <c r="AC548" i="4" s="1"/>
  <c r="J559" i="4"/>
  <c r="AB559" i="4" s="1"/>
  <c r="AC559" i="4" s="1"/>
  <c r="AD559" i="4"/>
  <c r="AA585" i="4"/>
  <c r="I604" i="4"/>
  <c r="Y604" i="4" s="1"/>
  <c r="Z604" i="4" s="1"/>
  <c r="AA605" i="4"/>
  <c r="H624" i="4"/>
  <c r="K626" i="4"/>
  <c r="AA628" i="4"/>
  <c r="AA640" i="4"/>
  <c r="Z640" i="4"/>
  <c r="X655" i="4"/>
  <c r="K688" i="4"/>
  <c r="J688" i="4"/>
  <c r="I688" i="4"/>
  <c r="Y688" i="4" s="1"/>
  <c r="AA691" i="4"/>
  <c r="AA704" i="4"/>
  <c r="H573" i="4"/>
  <c r="H585" i="4"/>
  <c r="AD586" i="4"/>
  <c r="J604" i="4"/>
  <c r="AB604" i="4" s="1"/>
  <c r="AC604" i="4" s="1"/>
  <c r="AD604" i="4"/>
  <c r="X605" i="4"/>
  <c r="Z626" i="4"/>
  <c r="J628" i="4"/>
  <c r="AB628" i="4" s="1"/>
  <c r="I628" i="4"/>
  <c r="Y628" i="4" s="1"/>
  <c r="Z628" i="4" s="1"/>
  <c r="Y641" i="4"/>
  <c r="Z641" i="4" s="1"/>
  <c r="K642" i="4"/>
  <c r="J642" i="4"/>
  <c r="AB642" i="4" s="1"/>
  <c r="X677" i="4"/>
  <c r="H677" i="4"/>
  <c r="H681" i="4" s="1"/>
  <c r="AA688" i="4"/>
  <c r="Z688" i="4"/>
  <c r="AA626" i="4"/>
  <c r="K628" i="4"/>
  <c r="K640" i="4"/>
  <c r="J640" i="4"/>
  <c r="AB640" i="4" s="1"/>
  <c r="J641" i="4"/>
  <c r="AB641" i="4" s="1"/>
  <c r="AC641" i="4" s="1"/>
  <c r="I642" i="4"/>
  <c r="Y642" i="4" s="1"/>
  <c r="Z642" i="4" s="1"/>
  <c r="AA659" i="4"/>
  <c r="AD687" i="4"/>
  <c r="Z765" i="4"/>
  <c r="Y765" i="4" s="1"/>
  <c r="AC765" i="4"/>
  <c r="AB765" i="4" s="1"/>
  <c r="AF765" i="4"/>
  <c r="AE765" i="4" s="1"/>
  <c r="Y827" i="4"/>
  <c r="H687" i="4"/>
  <c r="H691" i="4" s="1"/>
  <c r="H689" i="4"/>
  <c r="AD706" i="4"/>
  <c r="Z770" i="4"/>
  <c r="Y770" i="4" s="1"/>
  <c r="AC770" i="4"/>
  <c r="AB770" i="4" s="1"/>
  <c r="AF770" i="4"/>
  <c r="AE770" i="4" s="1"/>
  <c r="H625" i="4"/>
  <c r="H629" i="4"/>
  <c r="H656" i="4"/>
  <c r="X699" i="4"/>
  <c r="H699" i="4"/>
  <c r="Z766" i="4"/>
  <c r="Y766" i="4" s="1"/>
  <c r="AC766" i="4"/>
  <c r="AB766" i="4" s="1"/>
  <c r="AF766" i="4"/>
  <c r="AE766" i="4" s="1"/>
  <c r="K863" i="4"/>
  <c r="J863" i="4"/>
  <c r="I863" i="4"/>
  <c r="K705" i="4"/>
  <c r="AA705" i="4"/>
  <c r="AC764" i="4"/>
  <c r="AB764" i="4" s="1"/>
  <c r="AC768" i="4"/>
  <c r="AB768" i="4" s="1"/>
  <c r="AC772" i="4"/>
  <c r="AB772" i="4" s="1"/>
  <c r="F803" i="4"/>
  <c r="F813" i="4" s="1"/>
  <c r="G813" i="4" s="1"/>
  <c r="H1365" i="4"/>
  <c r="I1368" i="4"/>
  <c r="Y1368" i="4" s="1"/>
  <c r="K1368" i="4"/>
  <c r="J1368" i="4"/>
  <c r="J700" i="4"/>
  <c r="AB700" i="4" s="1"/>
  <c r="AC700" i="4" s="1"/>
  <c r="Z764" i="4"/>
  <c r="Y764" i="4" s="1"/>
  <c r="Z768" i="4"/>
  <c r="Y768" i="4" s="1"/>
  <c r="Z772" i="4"/>
  <c r="Y772" i="4" s="1"/>
  <c r="AC795" i="4"/>
  <c r="AB795" i="4" s="1"/>
  <c r="AC799" i="4"/>
  <c r="AB799" i="4" s="1"/>
  <c r="AD832" i="4"/>
  <c r="K937" i="4"/>
  <c r="AF937" i="4" s="1"/>
  <c r="AE937" i="4" s="1"/>
  <c r="J937" i="4"/>
  <c r="AC937" i="4" s="1"/>
  <c r="AB937" i="4" s="1"/>
  <c r="Y984" i="4"/>
  <c r="I705" i="4"/>
  <c r="Y705" i="4" s="1"/>
  <c r="Z705" i="4" s="1"/>
  <c r="AF763" i="4"/>
  <c r="AE763" i="4" s="1"/>
  <c r="AF767" i="4"/>
  <c r="AE767" i="4" s="1"/>
  <c r="AF771" i="4"/>
  <c r="AE771" i="4" s="1"/>
  <c r="AC794" i="4"/>
  <c r="AB794" i="4" s="1"/>
  <c r="AC798" i="4"/>
  <c r="AB798" i="4" s="1"/>
  <c r="K832" i="4"/>
  <c r="AF832" i="4" s="1"/>
  <c r="AE832" i="4" s="1"/>
  <c r="I937" i="4"/>
  <c r="Z937" i="4" s="1"/>
  <c r="Y937" i="4" s="1"/>
  <c r="J938" i="4"/>
  <c r="AC938" i="4" s="1"/>
  <c r="AB938" i="4" s="1"/>
  <c r="I938" i="4"/>
  <c r="Z938" i="4" s="1"/>
  <c r="Y938" i="4" s="1"/>
  <c r="H704" i="4"/>
  <c r="AE865" i="4"/>
  <c r="Y971" i="4"/>
  <c r="Y989" i="4"/>
  <c r="H1023" i="4"/>
  <c r="Y1035" i="4"/>
  <c r="AD867" i="4"/>
  <c r="AE867" i="4" s="1"/>
  <c r="K875" i="4"/>
  <c r="AF875" i="4" s="1"/>
  <c r="AE875" i="4" s="1"/>
  <c r="AA875" i="4"/>
  <c r="AB875" i="4" s="1"/>
  <c r="AB1100" i="4"/>
  <c r="R1160" i="4"/>
  <c r="AC1283" i="4"/>
  <c r="AB1283" i="4" s="1"/>
  <c r="K1289" i="4"/>
  <c r="K1288" i="4"/>
  <c r="AC1288" i="4" s="1"/>
  <c r="AB1288" i="4" s="1"/>
  <c r="Z979" i="4"/>
  <c r="Y979" i="4" s="1"/>
  <c r="Y1092" i="4"/>
  <c r="AE1100" i="4"/>
  <c r="R1159" i="4"/>
  <c r="AA1160" i="4"/>
  <c r="AB1160" i="4" s="1"/>
  <c r="K1168" i="4"/>
  <c r="AF1168" i="4" s="1"/>
  <c r="AE1168" i="4" s="1"/>
  <c r="J1168" i="4"/>
  <c r="AC1168" i="4" s="1"/>
  <c r="AB1168" i="4" s="1"/>
  <c r="I1168" i="4"/>
  <c r="Z1168" i="4" s="1"/>
  <c r="Y1168" i="4" s="1"/>
  <c r="AE1177" i="4"/>
  <c r="O1301" i="4"/>
  <c r="S1301" i="4" s="1"/>
  <c r="AE1301" i="4" s="1"/>
  <c r="AF1301" i="4" s="1"/>
  <c r="N1301" i="4"/>
  <c r="AB1301" i="4" s="1"/>
  <c r="J1128" i="4"/>
  <c r="AC1157" i="4"/>
  <c r="J1167" i="4"/>
  <c r="AC1167" i="4" s="1"/>
  <c r="AB1167" i="4" s="1"/>
  <c r="AB1191" i="4"/>
  <c r="AE1283" i="4"/>
  <c r="AE1287" i="4"/>
  <c r="AE1295" i="4"/>
  <c r="AF1295" i="4" s="1"/>
  <c r="Z1157" i="4"/>
  <c r="AC1158" i="4"/>
  <c r="AB1158" i="4" s="1"/>
  <c r="AE1178" i="4"/>
  <c r="AE1193" i="4"/>
  <c r="AB1193" i="4"/>
  <c r="AB1285" i="4"/>
  <c r="AE1286" i="4"/>
  <c r="I1310" i="4"/>
  <c r="I1309" i="4"/>
  <c r="Y1295" i="4"/>
  <c r="Z1295" i="4"/>
  <c r="AB1297" i="4"/>
  <c r="AC1297" i="4" s="1"/>
  <c r="Z1158" i="4"/>
  <c r="Y1158" i="4" s="1"/>
  <c r="D1186" i="4"/>
  <c r="X1186" i="4" s="1"/>
  <c r="AA1186" i="4" s="1"/>
  <c r="AD1186" i="4" s="1"/>
  <c r="AE1186" i="4" s="1"/>
  <c r="Z1186" i="4"/>
  <c r="AE1191" i="4"/>
  <c r="X1194" i="4"/>
  <c r="AA1194" i="4" s="1"/>
  <c r="AD1194" i="4" s="1"/>
  <c r="AE1194" i="4" s="1"/>
  <c r="H1194" i="4"/>
  <c r="Z1194" i="4" s="1"/>
  <c r="Y1253" i="4"/>
  <c r="AB1284" i="4"/>
  <c r="AE1285" i="4"/>
  <c r="Z1289" i="4"/>
  <c r="Y1289" i="4" s="1"/>
  <c r="AC1295" i="4"/>
  <c r="K1232" i="4"/>
  <c r="K1233" i="4"/>
  <c r="K1234" i="4"/>
  <c r="L1288" i="4"/>
  <c r="AF1288" i="4" s="1"/>
  <c r="AE1288" i="4" s="1"/>
  <c r="O1299" i="4"/>
  <c r="S1299" i="4" s="1"/>
  <c r="N1299" i="4"/>
  <c r="AB1299" i="4" s="1"/>
  <c r="AC1299" i="4" s="1"/>
  <c r="AC1307" i="4"/>
  <c r="I1367" i="4"/>
  <c r="Y1367" i="4" s="1"/>
  <c r="K1367" i="4"/>
  <c r="J1367" i="4"/>
  <c r="AF1300" i="4"/>
  <c r="AD1308" i="4"/>
  <c r="AE1308" i="4" s="1"/>
  <c r="J1370" i="4"/>
  <c r="K1370" i="4"/>
  <c r="I1370" i="4"/>
  <c r="Y1370" i="4" s="1"/>
  <c r="J1288" i="4"/>
  <c r="Z1288" i="4" s="1"/>
  <c r="Y1288" i="4" s="1"/>
  <c r="AF1298" i="4"/>
  <c r="Z1299" i="4"/>
  <c r="Y1301" i="4"/>
  <c r="Z1301" i="4" s="1"/>
  <c r="AC1301" i="4"/>
  <c r="J1325" i="4"/>
  <c r="Z1316" i="4"/>
  <c r="Y1316" i="4" s="1"/>
  <c r="J1324" i="4"/>
  <c r="Z1324" i="4" s="1"/>
  <c r="Y1324" i="4" s="1"/>
  <c r="N1303" i="4"/>
  <c r="AB1303" i="4" s="1"/>
  <c r="AC1303" i="4" s="1"/>
  <c r="N1305" i="4"/>
  <c r="AB1305" i="4" s="1"/>
  <c r="AC1305" i="4" s="1"/>
  <c r="O1307" i="4"/>
  <c r="AD1307" i="4" s="1"/>
  <c r="N1308" i="4"/>
  <c r="AB1308" i="4" s="1"/>
  <c r="AC1308" i="4" s="1"/>
  <c r="AC1316" i="4"/>
  <c r="AB1316" i="4" s="1"/>
  <c r="H1371" i="4"/>
  <c r="X1371" i="4"/>
  <c r="J1418" i="4"/>
  <c r="I1418" i="4"/>
  <c r="J1436" i="4"/>
  <c r="I1436" i="4"/>
  <c r="AF1373" i="4"/>
  <c r="K1376" i="4"/>
  <c r="I1376" i="4"/>
  <c r="K1418" i="4"/>
  <c r="K1436" i="4"/>
  <c r="I1440" i="4"/>
  <c r="K1440" i="4"/>
  <c r="K1442" i="4"/>
  <c r="J1442" i="4"/>
  <c r="I1442" i="4"/>
  <c r="K90" i="6"/>
  <c r="AC1373" i="4"/>
  <c r="J1376" i="4"/>
  <c r="K1398" i="4"/>
  <c r="J1398" i="4"/>
  <c r="I1398" i="4"/>
  <c r="K1416" i="4"/>
  <c r="J1416" i="4"/>
  <c r="I1416" i="4"/>
  <c r="I1419" i="4"/>
  <c r="K1419" i="4"/>
  <c r="K1421" i="4"/>
  <c r="J1421" i="4"/>
  <c r="I1421" i="4"/>
  <c r="H1439" i="4"/>
  <c r="I1443" i="4"/>
  <c r="K1443" i="4"/>
  <c r="I66" i="7"/>
  <c r="J1399" i="4"/>
  <c r="I1399" i="4"/>
  <c r="H1402" i="4"/>
  <c r="K1417" i="4"/>
  <c r="J1417" i="4"/>
  <c r="I1417" i="4"/>
  <c r="H1422" i="4"/>
  <c r="D66" i="7"/>
  <c r="H66" i="7"/>
  <c r="J1415" i="4"/>
  <c r="J1423" i="4"/>
  <c r="J1438" i="4"/>
  <c r="J1444" i="4"/>
  <c r="I89" i="6"/>
  <c r="J89" i="6" s="1"/>
  <c r="I90" i="6"/>
  <c r="J90" i="6" s="1"/>
  <c r="I95" i="6"/>
  <c r="J95" i="6" s="1"/>
  <c r="I96" i="6"/>
  <c r="J96" i="6" s="1"/>
  <c r="Y517" i="4" l="1"/>
  <c r="Z517" i="4" s="1"/>
  <c r="AE605" i="4"/>
  <c r="AF605" i="4" s="1"/>
  <c r="I572" i="4"/>
  <c r="Y572" i="4" s="1"/>
  <c r="Z572" i="4" s="1"/>
  <c r="Y586" i="4"/>
  <c r="Z586" i="4" s="1"/>
  <c r="Y528" i="4"/>
  <c r="Z528" i="4" s="1"/>
  <c r="H91" i="4"/>
  <c r="AB517" i="4"/>
  <c r="H1364" i="4"/>
  <c r="AD350" i="4"/>
  <c r="H350" i="4"/>
  <c r="Y87" i="4"/>
  <c r="AE827" i="4"/>
  <c r="K1325" i="4"/>
  <c r="AC1325" i="4" s="1"/>
  <c r="AE604" i="4"/>
  <c r="AB68" i="4"/>
  <c r="J97" i="6"/>
  <c r="J91" i="6"/>
  <c r="K1235" i="4"/>
  <c r="Y1309" i="4"/>
  <c r="Z1309" i="4" s="1"/>
  <c r="I1311" i="4"/>
  <c r="AE424" i="4"/>
  <c r="I126" i="2"/>
  <c r="J71" i="2"/>
  <c r="M57" i="1"/>
  <c r="G66" i="7"/>
  <c r="AF1289" i="4"/>
  <c r="AD1289" i="4"/>
  <c r="J1235" i="4"/>
  <c r="Z1159" i="4"/>
  <c r="Y1159" i="4" s="1"/>
  <c r="AC1159" i="4"/>
  <c r="AB1159" i="4" s="1"/>
  <c r="Y1149" i="4"/>
  <c r="P53" i="3"/>
  <c r="P55" i="3" s="1"/>
  <c r="O53" i="3"/>
  <c r="O55" i="3" s="1"/>
  <c r="N53" i="3"/>
  <c r="N55" i="3" s="1"/>
  <c r="M53" i="3"/>
  <c r="M55" i="3" s="1"/>
  <c r="L53" i="3"/>
  <c r="L55" i="3" s="1"/>
  <c r="K53" i="3"/>
  <c r="K55" i="3" s="1"/>
  <c r="J53" i="3"/>
  <c r="J55" i="3" s="1"/>
  <c r="I53" i="3"/>
  <c r="I55" i="3" s="1"/>
  <c r="J746" i="4"/>
  <c r="K746" i="4"/>
  <c r="L746" i="4"/>
  <c r="K700" i="4"/>
  <c r="AE700" i="4" s="1"/>
  <c r="AF700" i="4" s="1"/>
  <c r="I700" i="4"/>
  <c r="Y700" i="4" s="1"/>
  <c r="Z700" i="4" s="1"/>
  <c r="K559" i="4"/>
  <c r="I559" i="4"/>
  <c r="Y559" i="4" s="1"/>
  <c r="Z559" i="4" s="1"/>
  <c r="K548" i="4"/>
  <c r="AE548" i="4" s="1"/>
  <c r="I548" i="4"/>
  <c r="Y548" i="4" s="1"/>
  <c r="Z548" i="4" s="1"/>
  <c r="K546" i="4"/>
  <c r="AE546" i="4" s="1"/>
  <c r="AF546" i="4" s="1"/>
  <c r="I546" i="4"/>
  <c r="Y546" i="4" s="1"/>
  <c r="Z546" i="4" s="1"/>
  <c r="Y482" i="4"/>
  <c r="Z482" i="4" s="1"/>
  <c r="Y478" i="4"/>
  <c r="Z478" i="4" s="1"/>
  <c r="Z476" i="4"/>
  <c r="I376" i="4"/>
  <c r="Y376" i="4" s="1"/>
  <c r="J376" i="4"/>
  <c r="AB376" i="4" s="1"/>
  <c r="AC376" i="4" s="1"/>
  <c r="Z376" i="4"/>
  <c r="AB359" i="4"/>
  <c r="AC359" i="4" s="1"/>
  <c r="I308" i="4"/>
  <c r="Y308" i="4" s="1"/>
  <c r="J308" i="4"/>
  <c r="AB308" i="4" s="1"/>
  <c r="AC308" i="4" s="1"/>
  <c r="Z308" i="4"/>
  <c r="I269" i="4"/>
  <c r="Y269" i="4" s="1"/>
  <c r="Z269" i="4" s="1"/>
  <c r="J269" i="4"/>
  <c r="AA269" i="4"/>
  <c r="I258" i="4"/>
  <c r="Y258" i="4" s="1"/>
  <c r="J258" i="4"/>
  <c r="AA258" i="4"/>
  <c r="Z258" i="4"/>
  <c r="I254" i="4"/>
  <c r="Y254" i="4" s="1"/>
  <c r="Z254" i="4" s="1"/>
  <c r="J254" i="4"/>
  <c r="AB254" i="4" s="1"/>
  <c r="AC254" i="4" s="1"/>
  <c r="I231" i="4"/>
  <c r="Y231" i="4" s="1"/>
  <c r="Z231" i="4" s="1"/>
  <c r="J231" i="4"/>
  <c r="AB231" i="4" s="1"/>
  <c r="AE218" i="4"/>
  <c r="AF218" i="4" s="1"/>
  <c r="AB114" i="4"/>
  <c r="AC114" i="4" s="1"/>
  <c r="K90" i="4"/>
  <c r="AE90" i="4" s="1"/>
  <c r="AF90" i="4" s="1"/>
  <c r="I90" i="4"/>
  <c r="Y90" i="4" s="1"/>
  <c r="Z90" i="4" s="1"/>
  <c r="K88" i="4"/>
  <c r="AE88" i="4" s="1"/>
  <c r="AF88" i="4" s="1"/>
  <c r="I88" i="4"/>
  <c r="Y88" i="4" s="1"/>
  <c r="Z88" i="4" s="1"/>
  <c r="AF67" i="4"/>
  <c r="AE67" i="4" s="1"/>
  <c r="Q72" i="4"/>
  <c r="Q34" i="3"/>
  <c r="R34" i="3" s="1"/>
  <c r="J691" i="4"/>
  <c r="AB691" i="4" s="1"/>
  <c r="I691" i="4"/>
  <c r="Y691" i="4" s="1"/>
  <c r="Z691" i="4" s="1"/>
  <c r="K691" i="4"/>
  <c r="AE691" i="4" s="1"/>
  <c r="AF691" i="4" s="1"/>
  <c r="G1147" i="4"/>
  <c r="H1147" i="4" s="1"/>
  <c r="Z1147" i="4" s="1"/>
  <c r="E878" i="4"/>
  <c r="E868" i="4"/>
  <c r="E826" i="4"/>
  <c r="E833" i="4"/>
  <c r="E481" i="4"/>
  <c r="I481" i="4" s="1"/>
  <c r="I186" i="2"/>
  <c r="N1192" i="4"/>
  <c r="R1192" i="4" s="1"/>
  <c r="D1192" i="4"/>
  <c r="H1192" i="4" s="1"/>
  <c r="I1192" i="4"/>
  <c r="M1192" i="4" s="1"/>
  <c r="N1176" i="4"/>
  <c r="R1176" i="4" s="1"/>
  <c r="D1176" i="4"/>
  <c r="H1176" i="4" s="1"/>
  <c r="E1099" i="4"/>
  <c r="G1091" i="4"/>
  <c r="H1091" i="4" s="1"/>
  <c r="Z1091" i="4" s="1"/>
  <c r="G1082" i="4"/>
  <c r="H1082" i="4" s="1"/>
  <c r="Z1082" i="4" s="1"/>
  <c r="G1064" i="4"/>
  <c r="H1064" i="4" s="1"/>
  <c r="I1176" i="4"/>
  <c r="M1176" i="4" s="1"/>
  <c r="G1086" i="4"/>
  <c r="H1086" i="4" s="1"/>
  <c r="Z1086" i="4" s="1"/>
  <c r="G1040" i="4"/>
  <c r="H1040" i="4" s="1"/>
  <c r="Z1040" i="4" s="1"/>
  <c r="G1011" i="4"/>
  <c r="H1011" i="4" s="1"/>
  <c r="G999" i="4"/>
  <c r="H999" i="4" s="1"/>
  <c r="Z999" i="4" s="1"/>
  <c r="I1064" i="4"/>
  <c r="J1064" i="4" s="1"/>
  <c r="G1048" i="4"/>
  <c r="H1048" i="4" s="1"/>
  <c r="G998" i="4"/>
  <c r="H998" i="4" s="1"/>
  <c r="Z998" i="4" s="1"/>
  <c r="G1024" i="4"/>
  <c r="H1024" i="4" s="1"/>
  <c r="Z1024" i="4" s="1"/>
  <c r="G997" i="4"/>
  <c r="H997" i="4" s="1"/>
  <c r="D1157" i="4"/>
  <c r="H1157" i="4" s="1"/>
  <c r="G1000" i="4"/>
  <c r="H1000" i="4" s="1"/>
  <c r="Z1000" i="4" s="1"/>
  <c r="G981" i="4"/>
  <c r="H981" i="4" s="1"/>
  <c r="G932" i="4"/>
  <c r="H932" i="4" s="1"/>
  <c r="Z932" i="4" s="1"/>
  <c r="G928" i="4"/>
  <c r="H928" i="4" s="1"/>
  <c r="Z928" i="4" s="1"/>
  <c r="I127" i="2"/>
  <c r="X928" i="4" s="1"/>
  <c r="G1068" i="4"/>
  <c r="H1068" i="4" s="1"/>
  <c r="AC1068" i="4" s="1"/>
  <c r="G1015" i="4"/>
  <c r="H1015" i="4" s="1"/>
  <c r="Z1015" i="4" s="1"/>
  <c r="G972" i="4"/>
  <c r="H972" i="4" s="1"/>
  <c r="Z972" i="4" s="1"/>
  <c r="I1068" i="4"/>
  <c r="J1068" i="4" s="1"/>
  <c r="Z1068" i="4" s="1"/>
  <c r="G951" i="4"/>
  <c r="H951" i="4" s="1"/>
  <c r="Z951" i="4" s="1"/>
  <c r="D782" i="4"/>
  <c r="H782" i="4" s="1"/>
  <c r="H783" i="4" s="1"/>
  <c r="H785" i="4" s="1"/>
  <c r="I212" i="2"/>
  <c r="J681" i="4"/>
  <c r="I681" i="4"/>
  <c r="K681" i="4"/>
  <c r="I97" i="6"/>
  <c r="M65" i="1" s="1"/>
  <c r="I91" i="6"/>
  <c r="M64" i="1" s="1"/>
  <c r="Y1194" i="4"/>
  <c r="AB1194" i="4"/>
  <c r="AF1159" i="4"/>
  <c r="AE1159" i="4" s="1"/>
  <c r="R1161" i="4"/>
  <c r="AD1160" i="4"/>
  <c r="AF1160" i="4"/>
  <c r="AC863" i="4"/>
  <c r="AB863" i="4" s="1"/>
  <c r="K656" i="4"/>
  <c r="AE656" i="4" s="1"/>
  <c r="AF656" i="4" s="1"/>
  <c r="I656" i="4"/>
  <c r="Y656" i="4" s="1"/>
  <c r="Z656" i="4" s="1"/>
  <c r="J656" i="4"/>
  <c r="AB656" i="4" s="1"/>
  <c r="AC656" i="4" s="1"/>
  <c r="AD626" i="4"/>
  <c r="AD704" i="4"/>
  <c r="AA655" i="4"/>
  <c r="AD640" i="4"/>
  <c r="AC640" i="4"/>
  <c r="AA703" i="4"/>
  <c r="J676" i="4"/>
  <c r="I676" i="4"/>
  <c r="K676" i="4"/>
  <c r="K466" i="4"/>
  <c r="AE466" i="4" s="1"/>
  <c r="J466" i="4"/>
  <c r="AB466" i="4" s="1"/>
  <c r="AC466" i="4" s="1"/>
  <c r="I466" i="4"/>
  <c r="Y466" i="4" s="1"/>
  <c r="Z466" i="4" s="1"/>
  <c r="AF641" i="4"/>
  <c r="Y605" i="4"/>
  <c r="AB655" i="4"/>
  <c r="AA544" i="4"/>
  <c r="AD528" i="4"/>
  <c r="AE528" i="4" s="1"/>
  <c r="AA465" i="4"/>
  <c r="AD395" i="4"/>
  <c r="AB572" i="4"/>
  <c r="Y544" i="4"/>
  <c r="Z544" i="4" s="1"/>
  <c r="J425" i="4"/>
  <c r="AB425" i="4" s="1"/>
  <c r="I425" i="4"/>
  <c r="Y425" i="4" s="1"/>
  <c r="K425" i="4"/>
  <c r="AE425" i="4" s="1"/>
  <c r="AF425" i="4"/>
  <c r="AA1369" i="4"/>
  <c r="F397" i="4"/>
  <c r="H395" i="4"/>
  <c r="F396" i="4"/>
  <c r="H396" i="4" s="1"/>
  <c r="AB357" i="4"/>
  <c r="AA270" i="4"/>
  <c r="K191" i="4"/>
  <c r="AE191" i="4" s="1"/>
  <c r="J191" i="4"/>
  <c r="AB191" i="4" s="1"/>
  <c r="AC191" i="4" s="1"/>
  <c r="I191" i="4"/>
  <c r="Y191" i="4" s="1"/>
  <c r="Z191" i="4" s="1"/>
  <c r="K176" i="4"/>
  <c r="AE176" i="4" s="1"/>
  <c r="J176" i="4"/>
  <c r="AB176" i="4" s="1"/>
  <c r="AC176" i="4" s="1"/>
  <c r="I176" i="4"/>
  <c r="AA397" i="4"/>
  <c r="AA388" i="4"/>
  <c r="AA460" i="4"/>
  <c r="K623" i="4"/>
  <c r="J623" i="4"/>
  <c r="I623" i="4"/>
  <c r="Y623" i="4" s="1"/>
  <c r="X702" i="4"/>
  <c r="H702" i="4"/>
  <c r="AB528" i="4"/>
  <c r="AC528" i="4" s="1"/>
  <c r="AC352" i="4"/>
  <c r="AA232" i="4"/>
  <c r="AE216" i="4"/>
  <c r="AD201" i="4"/>
  <c r="X201" i="4"/>
  <c r="H201" i="4"/>
  <c r="AA201" i="4"/>
  <c r="K189" i="4"/>
  <c r="AE189" i="4" s="1"/>
  <c r="J189" i="4"/>
  <c r="AB189" i="4" s="1"/>
  <c r="I189" i="4"/>
  <c r="Y189" i="4" s="1"/>
  <c r="Z189" i="4" s="1"/>
  <c r="X92" i="4"/>
  <c r="H92" i="4"/>
  <c r="X80" i="4"/>
  <c r="H80" i="4"/>
  <c r="AB530" i="4"/>
  <c r="J252" i="4"/>
  <c r="I252" i="4"/>
  <c r="Y252" i="4" s="1"/>
  <c r="K252" i="4"/>
  <c r="I175" i="4"/>
  <c r="K175" i="4"/>
  <c r="AE175" i="4" s="1"/>
  <c r="J175" i="4"/>
  <c r="AB175" i="4" s="1"/>
  <c r="AC175" i="4" s="1"/>
  <c r="J169" i="4"/>
  <c r="AB169" i="4" s="1"/>
  <c r="AC169" i="4" s="1"/>
  <c r="I169" i="4"/>
  <c r="Y169" i="4" s="1"/>
  <c r="Z169" i="4" s="1"/>
  <c r="K169" i="4"/>
  <c r="H228" i="4"/>
  <c r="X228" i="4"/>
  <c r="X292" i="4"/>
  <c r="H292" i="4"/>
  <c r="AA292" i="4"/>
  <c r="AD292" i="4"/>
  <c r="AA398" i="4"/>
  <c r="X251" i="4"/>
  <c r="H251" i="4"/>
  <c r="X335" i="4"/>
  <c r="H335" i="4"/>
  <c r="K215" i="4"/>
  <c r="AE215" i="4" s="1"/>
  <c r="I215" i="4"/>
  <c r="Y215" i="4" s="1"/>
  <c r="Z215" i="4" s="1"/>
  <c r="J215" i="4"/>
  <c r="AB215" i="4" s="1"/>
  <c r="AC215" i="4" s="1"/>
  <c r="AA293" i="4"/>
  <c r="AD293" i="4"/>
  <c r="X293" i="4"/>
  <c r="H293" i="4"/>
  <c r="AD372" i="4"/>
  <c r="X372" i="4"/>
  <c r="H372" i="4"/>
  <c r="AA372" i="4"/>
  <c r="X378" i="4"/>
  <c r="H378" i="4"/>
  <c r="AA378" i="4"/>
  <c r="AD378" i="4"/>
  <c r="X447" i="4"/>
  <c r="H447" i="4"/>
  <c r="X373" i="4"/>
  <c r="H373" i="4"/>
  <c r="AA373" i="4"/>
  <c r="AD373" i="4"/>
  <c r="X353" i="4"/>
  <c r="AD353" i="4"/>
  <c r="H353" i="4"/>
  <c r="H446" i="4"/>
  <c r="X446" i="4"/>
  <c r="X653" i="4"/>
  <c r="H653" i="4"/>
  <c r="I514" i="4"/>
  <c r="Y514" i="4" s="1"/>
  <c r="K514" i="4"/>
  <c r="J514" i="4"/>
  <c r="X569" i="4"/>
  <c r="H569" i="4"/>
  <c r="X589" i="4"/>
  <c r="H589" i="4"/>
  <c r="AA589" i="4"/>
  <c r="AD589" i="4"/>
  <c r="X607" i="4"/>
  <c r="H607" i="4"/>
  <c r="AA607" i="4"/>
  <c r="AD607" i="4"/>
  <c r="H467" i="4"/>
  <c r="X467" i="4"/>
  <c r="X526" i="4"/>
  <c r="H526" i="4"/>
  <c r="H651" i="4"/>
  <c r="X651" i="4"/>
  <c r="K511" i="4"/>
  <c r="J511" i="4"/>
  <c r="I511" i="4"/>
  <c r="Y511" i="4" s="1"/>
  <c r="AA584" i="4"/>
  <c r="AD584" i="4"/>
  <c r="X584" i="4"/>
  <c r="H584" i="4"/>
  <c r="AA602" i="4"/>
  <c r="AD602" i="4"/>
  <c r="X602" i="4"/>
  <c r="H602" i="4"/>
  <c r="AA612" i="4"/>
  <c r="AD612" i="4"/>
  <c r="X612" i="4"/>
  <c r="H612" i="4"/>
  <c r="X627" i="4"/>
  <c r="H627" i="4"/>
  <c r="X638" i="4"/>
  <c r="H638" i="4"/>
  <c r="J1395" i="4"/>
  <c r="I1395" i="4"/>
  <c r="K1395" i="4"/>
  <c r="I1400" i="4"/>
  <c r="K1400" i="4"/>
  <c r="J1400" i="4"/>
  <c r="I1437" i="4"/>
  <c r="K1437" i="4"/>
  <c r="J1437" i="4"/>
  <c r="K1414" i="4"/>
  <c r="J1414" i="4"/>
  <c r="I1414" i="4"/>
  <c r="K1394" i="4"/>
  <c r="J1394" i="4"/>
  <c r="I1394" i="4"/>
  <c r="AA461" i="4"/>
  <c r="AF411" i="4"/>
  <c r="AA350" i="4"/>
  <c r="J234" i="4"/>
  <c r="I234" i="4"/>
  <c r="Y234" i="4" s="1"/>
  <c r="K234" i="4"/>
  <c r="J85" i="4"/>
  <c r="I85" i="4"/>
  <c r="Y85" i="4" s="1"/>
  <c r="K85" i="4"/>
  <c r="J125" i="4"/>
  <c r="I125" i="4"/>
  <c r="K125" i="4"/>
  <c r="AF111" i="4"/>
  <c r="J104" i="4"/>
  <c r="I104" i="4"/>
  <c r="K104" i="4"/>
  <c r="AA91" i="4"/>
  <c r="I71" i="2"/>
  <c r="Y190" i="4"/>
  <c r="Z190" i="4" s="1"/>
  <c r="AE135" i="4"/>
  <c r="AF135" i="4" s="1"/>
  <c r="AD130" i="4"/>
  <c r="AA127" i="4"/>
  <c r="J106" i="4"/>
  <c r="I106" i="4"/>
  <c r="Y106" i="4" s="1"/>
  <c r="K106" i="4"/>
  <c r="I197" i="2"/>
  <c r="I198" i="2" s="1"/>
  <c r="I161" i="2"/>
  <c r="J161" i="2" s="1"/>
  <c r="G969" i="4"/>
  <c r="H969" i="4" s="1"/>
  <c r="Z969" i="4" s="1"/>
  <c r="I929" i="4"/>
  <c r="AC929" i="4" s="1"/>
  <c r="J54" i="2"/>
  <c r="I55" i="2"/>
  <c r="AD171" i="4"/>
  <c r="AB130" i="4"/>
  <c r="AC130" i="4" s="1"/>
  <c r="AD822" i="4"/>
  <c r="J822" i="4"/>
  <c r="AC822" i="4" s="1"/>
  <c r="I822" i="4"/>
  <c r="Z822" i="4" s="1"/>
  <c r="X822" i="4"/>
  <c r="AA822" i="4"/>
  <c r="K822" i="4"/>
  <c r="AF822" i="4" s="1"/>
  <c r="AE822" i="4" s="1"/>
  <c r="I109" i="2"/>
  <c r="Z1325" i="4"/>
  <c r="X1325" i="4"/>
  <c r="AE1299" i="4"/>
  <c r="AF1299" i="4" s="1"/>
  <c r="S1309" i="4"/>
  <c r="S1310" i="4"/>
  <c r="AC1289" i="4"/>
  <c r="AA1289" i="4"/>
  <c r="Z1023" i="4"/>
  <c r="Y1023" i="4" s="1"/>
  <c r="I1365" i="4"/>
  <c r="Y1365" i="4" s="1"/>
  <c r="K1365" i="4"/>
  <c r="J1365" i="4"/>
  <c r="AD705" i="4"/>
  <c r="AF863" i="4"/>
  <c r="AE863" i="4" s="1"/>
  <c r="AB705" i="4"/>
  <c r="AC705" i="4" s="1"/>
  <c r="K629" i="4"/>
  <c r="AE629" i="4" s="1"/>
  <c r="AF629" i="4" s="1"/>
  <c r="J629" i="4"/>
  <c r="AB629" i="4" s="1"/>
  <c r="AC629" i="4" s="1"/>
  <c r="I629" i="4"/>
  <c r="Y629" i="4" s="1"/>
  <c r="Z629" i="4" s="1"/>
  <c r="H692" i="4"/>
  <c r="AD659" i="4"/>
  <c r="J677" i="4"/>
  <c r="I677" i="4"/>
  <c r="Y677" i="4" s="1"/>
  <c r="K677" i="4"/>
  <c r="Z605" i="4"/>
  <c r="I585" i="4"/>
  <c r="Y585" i="4" s="1"/>
  <c r="Z585" i="4" s="1"/>
  <c r="K585" i="4"/>
  <c r="AE585" i="4" s="1"/>
  <c r="AF585" i="4" s="1"/>
  <c r="J585" i="4"/>
  <c r="AB585" i="4" s="1"/>
  <c r="AC585" i="4" s="1"/>
  <c r="AC691" i="4"/>
  <c r="AB688" i="4"/>
  <c r="J624" i="4"/>
  <c r="AB624" i="4" s="1"/>
  <c r="I624" i="4"/>
  <c r="Y624" i="4" s="1"/>
  <c r="Z624" i="4" s="1"/>
  <c r="K624" i="4"/>
  <c r="H680" i="4"/>
  <c r="AA676" i="4"/>
  <c r="K462" i="4"/>
  <c r="J462" i="4"/>
  <c r="AB462" i="4" s="1"/>
  <c r="I462" i="4"/>
  <c r="Y462" i="4" s="1"/>
  <c r="Z462" i="4" s="1"/>
  <c r="AD576" i="4"/>
  <c r="AD517" i="4"/>
  <c r="AC517" i="4"/>
  <c r="AC425" i="4"/>
  <c r="J351" i="4"/>
  <c r="K351" i="4"/>
  <c r="AE351" i="4" s="1"/>
  <c r="I351" i="4"/>
  <c r="Y351" i="4" s="1"/>
  <c r="K295" i="4"/>
  <c r="J295" i="4"/>
  <c r="AB295" i="4" s="1"/>
  <c r="I295" i="4"/>
  <c r="Y295" i="4" s="1"/>
  <c r="Z295" i="4" s="1"/>
  <c r="AF435" i="4"/>
  <c r="AD400" i="4"/>
  <c r="AF466" i="4"/>
  <c r="AB450" i="4"/>
  <c r="Z425" i="4"/>
  <c r="Z436" i="4"/>
  <c r="AC424" i="4"/>
  <c r="AD392" i="4"/>
  <c r="I392" i="4"/>
  <c r="Y392" i="4" s="1"/>
  <c r="Z392" i="4" s="1"/>
  <c r="K392" i="4"/>
  <c r="J392" i="4"/>
  <c r="AB392" i="4" s="1"/>
  <c r="AC392" i="4" s="1"/>
  <c r="AD295" i="4"/>
  <c r="AC295" i="4"/>
  <c r="AF216" i="4"/>
  <c r="X174" i="4"/>
  <c r="H174" i="4"/>
  <c r="K460" i="4"/>
  <c r="J460" i="4"/>
  <c r="I460" i="4"/>
  <c r="Y460" i="4" s="1"/>
  <c r="Z460" i="4" s="1"/>
  <c r="AA390" i="4"/>
  <c r="X571" i="4"/>
  <c r="H571" i="4"/>
  <c r="X658" i="4"/>
  <c r="H658" i="4"/>
  <c r="H1374" i="4"/>
  <c r="X1374" i="4"/>
  <c r="AD573" i="4"/>
  <c r="J463" i="4"/>
  <c r="I463" i="4"/>
  <c r="Y463" i="4" s="1"/>
  <c r="K463" i="4"/>
  <c r="Y232" i="4"/>
  <c r="Z232" i="4" s="1"/>
  <c r="X219" i="4"/>
  <c r="H219" i="4"/>
  <c r="X168" i="4"/>
  <c r="H168" i="4"/>
  <c r="X86" i="4"/>
  <c r="H86" i="4"/>
  <c r="AD448" i="4"/>
  <c r="AC448" i="4"/>
  <c r="AD268" i="4"/>
  <c r="Z252" i="4"/>
  <c r="AA252" i="4"/>
  <c r="AF189" i="4"/>
  <c r="X165" i="4"/>
  <c r="H165" i="4"/>
  <c r="H229" i="4"/>
  <c r="X229" i="4"/>
  <c r="X334" i="4"/>
  <c r="H334" i="4"/>
  <c r="AD423" i="4"/>
  <c r="X423" i="4"/>
  <c r="H423" i="4"/>
  <c r="AA423" i="4"/>
  <c r="X279" i="4"/>
  <c r="H279" i="4"/>
  <c r="X348" i="4"/>
  <c r="H348" i="4"/>
  <c r="AD348" i="4"/>
  <c r="X255" i="4"/>
  <c r="H255" i="4"/>
  <c r="AA305" i="4"/>
  <c r="AD305" i="4"/>
  <c r="H305" i="4"/>
  <c r="X305" i="4"/>
  <c r="AA532" i="4"/>
  <c r="H393" i="4"/>
  <c r="X393" i="4"/>
  <c r="AA511" i="4"/>
  <c r="Z511" i="4"/>
  <c r="X434" i="4"/>
  <c r="H434" i="4"/>
  <c r="AA434" i="4"/>
  <c r="AD434" i="4"/>
  <c r="AA375" i="4"/>
  <c r="AD375" i="4"/>
  <c r="X375" i="4"/>
  <c r="H375" i="4"/>
  <c r="X540" i="4"/>
  <c r="X543" i="4"/>
  <c r="X541" i="4"/>
  <c r="H541" i="4"/>
  <c r="X667" i="4"/>
  <c r="AA667" i="4"/>
  <c r="AD667" i="4"/>
  <c r="H667" i="4"/>
  <c r="I516" i="4"/>
  <c r="Y516" i="4" s="1"/>
  <c r="Z516" i="4" s="1"/>
  <c r="K516" i="4"/>
  <c r="J516" i="4"/>
  <c r="X575" i="4"/>
  <c r="H575" i="4"/>
  <c r="X591" i="4"/>
  <c r="H591" i="4"/>
  <c r="AA591" i="4"/>
  <c r="AD591" i="4"/>
  <c r="X609" i="4"/>
  <c r="H609" i="4"/>
  <c r="AA609" i="4"/>
  <c r="AD609" i="4"/>
  <c r="AA512" i="4"/>
  <c r="X542" i="4"/>
  <c r="H542" i="4"/>
  <c r="X668" i="4"/>
  <c r="AA668" i="4"/>
  <c r="AD668" i="4"/>
  <c r="H668" i="4"/>
  <c r="H515" i="4"/>
  <c r="X515" i="4"/>
  <c r="AA588" i="4"/>
  <c r="AD588" i="4"/>
  <c r="X588" i="4"/>
  <c r="H588" i="4"/>
  <c r="AA606" i="4"/>
  <c r="AD606" i="4"/>
  <c r="X606" i="4"/>
  <c r="H606" i="4"/>
  <c r="X639" i="4"/>
  <c r="H639" i="4"/>
  <c r="X650" i="4"/>
  <c r="H650" i="4"/>
  <c r="X690" i="4"/>
  <c r="H690" i="4"/>
  <c r="AA1365" i="4"/>
  <c r="Z1365" i="4"/>
  <c r="X1363" i="4"/>
  <c r="H1363" i="4"/>
  <c r="I1413" i="4"/>
  <c r="K1413" i="4"/>
  <c r="J1413" i="4"/>
  <c r="H1404" i="4"/>
  <c r="K1393" i="4"/>
  <c r="J1393" i="4"/>
  <c r="I1393" i="4"/>
  <c r="H1405" i="4"/>
  <c r="K1420" i="4"/>
  <c r="J1420" i="4"/>
  <c r="I1420" i="4"/>
  <c r="K1435" i="4"/>
  <c r="J1435" i="4"/>
  <c r="I1435" i="4"/>
  <c r="AA234" i="4"/>
  <c r="Z234" i="4"/>
  <c r="AB187" i="4"/>
  <c r="AC187" i="4" s="1"/>
  <c r="AD169" i="4"/>
  <c r="AE134" i="4"/>
  <c r="AF134" i="4" s="1"/>
  <c r="Z85" i="4"/>
  <c r="AA85" i="4"/>
  <c r="G931" i="4"/>
  <c r="H931" i="4" s="1"/>
  <c r="Z931" i="4" s="1"/>
  <c r="I225" i="2"/>
  <c r="X931" i="4" s="1"/>
  <c r="AE170" i="4"/>
  <c r="AF170" i="4" s="1"/>
  <c r="AF132" i="4"/>
  <c r="AA125" i="4"/>
  <c r="AA104" i="4"/>
  <c r="AD109" i="4"/>
  <c r="Z106" i="4"/>
  <c r="AA106" i="4"/>
  <c r="Z87" i="4"/>
  <c r="AA87" i="4"/>
  <c r="AB87" i="4" s="1"/>
  <c r="H326" i="4"/>
  <c r="H327" i="4" s="1"/>
  <c r="Y185" i="4"/>
  <c r="J167" i="4"/>
  <c r="I167" i="4"/>
  <c r="Y167" i="4" s="1"/>
  <c r="Z167" i="4" s="1"/>
  <c r="K167" i="4"/>
  <c r="AE130" i="4"/>
  <c r="J83" i="4"/>
  <c r="I83" i="4"/>
  <c r="Y83" i="4" s="1"/>
  <c r="Z83" i="4" s="1"/>
  <c r="K83" i="4"/>
  <c r="AD1309" i="4"/>
  <c r="AA1309" i="4"/>
  <c r="I829" i="4"/>
  <c r="Z829" i="4" s="1"/>
  <c r="X829" i="4"/>
  <c r="AA829" i="4"/>
  <c r="K829" i="4"/>
  <c r="AF829" i="4" s="1"/>
  <c r="AD829" i="4"/>
  <c r="J829" i="4"/>
  <c r="AC829" i="4" s="1"/>
  <c r="I266" i="2"/>
  <c r="J266" i="2" s="1"/>
  <c r="J1439" i="4"/>
  <c r="I1439" i="4"/>
  <c r="K1439" i="4"/>
  <c r="AA1371" i="4"/>
  <c r="N1309" i="4"/>
  <c r="AB1309" i="4" s="1"/>
  <c r="J1364" i="4"/>
  <c r="I1364" i="4"/>
  <c r="Y1364" i="4" s="1"/>
  <c r="Z1364" i="4" s="1"/>
  <c r="K1364" i="4"/>
  <c r="X1310" i="4"/>
  <c r="Y1310" i="4" s="1"/>
  <c r="K704" i="4"/>
  <c r="AE704" i="4" s="1"/>
  <c r="J704" i="4"/>
  <c r="AB704" i="4" s="1"/>
  <c r="AC704" i="4" s="1"/>
  <c r="I704" i="4"/>
  <c r="Y704" i="4" s="1"/>
  <c r="Z704" i="4" s="1"/>
  <c r="AE705" i="4"/>
  <c r="J699" i="4"/>
  <c r="I699" i="4"/>
  <c r="K699" i="4"/>
  <c r="K625" i="4"/>
  <c r="AE625" i="4" s="1"/>
  <c r="AF625" i="4" s="1"/>
  <c r="J625" i="4"/>
  <c r="AB625" i="4" s="1"/>
  <c r="AC625" i="4" s="1"/>
  <c r="I625" i="4"/>
  <c r="Y625" i="4" s="1"/>
  <c r="Z625" i="4" s="1"/>
  <c r="I689" i="4"/>
  <c r="Y689" i="4" s="1"/>
  <c r="Z689" i="4" s="1"/>
  <c r="K689" i="4"/>
  <c r="AE689" i="4" s="1"/>
  <c r="AF689" i="4" s="1"/>
  <c r="J689" i="4"/>
  <c r="AB689" i="4" s="1"/>
  <c r="AC689" i="4" s="1"/>
  <c r="AE640" i="4"/>
  <c r="AA677" i="4"/>
  <c r="Z677" i="4"/>
  <c r="AF604" i="4"/>
  <c r="I573" i="4"/>
  <c r="Y573" i="4" s="1"/>
  <c r="Z573" i="4" s="1"/>
  <c r="K573" i="4"/>
  <c r="J573" i="4"/>
  <c r="AB573" i="4" s="1"/>
  <c r="AC573" i="4" s="1"/>
  <c r="AD628" i="4"/>
  <c r="AE628" i="4" s="1"/>
  <c r="AC628" i="4"/>
  <c r="AB544" i="4"/>
  <c r="J678" i="4"/>
  <c r="I678" i="4"/>
  <c r="Y678" i="4" s="1"/>
  <c r="Z678" i="4" s="1"/>
  <c r="K678" i="4"/>
  <c r="AD642" i="4"/>
  <c r="AC642" i="4"/>
  <c r="AB605" i="4"/>
  <c r="AC605" i="4" s="1"/>
  <c r="Z477" i="4"/>
  <c r="J547" i="4"/>
  <c r="I547" i="4"/>
  <c r="Y547" i="4" s="1"/>
  <c r="K547" i="4"/>
  <c r="AD530" i="4"/>
  <c r="AE530" i="4" s="1"/>
  <c r="AC530" i="4"/>
  <c r="AD437" i="4"/>
  <c r="Z351" i="4"/>
  <c r="AA351" i="4"/>
  <c r="AA233" i="4"/>
  <c r="Y233" i="4"/>
  <c r="Z233" i="4" s="1"/>
  <c r="AC560" i="4"/>
  <c r="AC357" i="4"/>
  <c r="AF436" i="4"/>
  <c r="Y424" i="4"/>
  <c r="Z424" i="4" s="1"/>
  <c r="J388" i="4"/>
  <c r="I388" i="4"/>
  <c r="K388" i="4"/>
  <c r="J296" i="4"/>
  <c r="I296" i="4"/>
  <c r="Y296" i="4" s="1"/>
  <c r="K296" i="4"/>
  <c r="Z200" i="4"/>
  <c r="H133" i="4"/>
  <c r="X137" i="4"/>
  <c r="X133" i="4"/>
  <c r="X267" i="4"/>
  <c r="H267" i="4"/>
  <c r="K270" i="4"/>
  <c r="J270" i="4"/>
  <c r="AB270" i="4" s="1"/>
  <c r="I270" i="4"/>
  <c r="Y270" i="4" s="1"/>
  <c r="Z270" i="4" s="1"/>
  <c r="J543" i="4"/>
  <c r="I543" i="4"/>
  <c r="Y543" i="4" s="1"/>
  <c r="K543" i="4"/>
  <c r="K540" i="4"/>
  <c r="J540" i="4"/>
  <c r="I540" i="4"/>
  <c r="AA623" i="4"/>
  <c r="Z623" i="4"/>
  <c r="J1375" i="4"/>
  <c r="K1375" i="4"/>
  <c r="I1375" i="4"/>
  <c r="Z463" i="4"/>
  <c r="AA463" i="4"/>
  <c r="J237" i="4"/>
  <c r="AB237" i="4" s="1"/>
  <c r="AC237" i="4" s="1"/>
  <c r="I237" i="4"/>
  <c r="Y237" i="4" s="1"/>
  <c r="Z237" i="4" s="1"/>
  <c r="K237" i="4"/>
  <c r="AE237" i="4" s="1"/>
  <c r="AF237" i="4" s="1"/>
  <c r="AB200" i="4"/>
  <c r="AC200" i="4" s="1"/>
  <c r="I171" i="4"/>
  <c r="Y171" i="4" s="1"/>
  <c r="Z171" i="4" s="1"/>
  <c r="K171" i="4"/>
  <c r="AE171" i="4" s="1"/>
  <c r="J171" i="4"/>
  <c r="AB171" i="4" s="1"/>
  <c r="AC171" i="4" s="1"/>
  <c r="X126" i="4"/>
  <c r="H126" i="4"/>
  <c r="X84" i="4"/>
  <c r="H84" i="4"/>
  <c r="X280" i="4"/>
  <c r="H280" i="4"/>
  <c r="J206" i="4"/>
  <c r="AB206" i="4" s="1"/>
  <c r="AC206" i="4" s="1"/>
  <c r="K206" i="4"/>
  <c r="AE206" i="4" s="1"/>
  <c r="AF206" i="4" s="1"/>
  <c r="I206" i="4"/>
  <c r="Y206" i="4" s="1"/>
  <c r="Z206" i="4" s="1"/>
  <c r="J202" i="4"/>
  <c r="AB202" i="4" s="1"/>
  <c r="AC202" i="4" s="1"/>
  <c r="K202" i="4"/>
  <c r="AE202" i="4" s="1"/>
  <c r="AF202" i="4" s="1"/>
  <c r="I202" i="4"/>
  <c r="Y202" i="4" s="1"/>
  <c r="J186" i="4"/>
  <c r="AB186" i="4" s="1"/>
  <c r="AC186" i="4" s="1"/>
  <c r="I186" i="4"/>
  <c r="Y186" i="4" s="1"/>
  <c r="Z186" i="4" s="1"/>
  <c r="K186" i="4"/>
  <c r="AE186" i="4" s="1"/>
  <c r="AF186" i="4" s="1"/>
  <c r="AA110" i="4"/>
  <c r="H214" i="4"/>
  <c r="X214" i="4"/>
  <c r="H230" i="4"/>
  <c r="X230" i="4"/>
  <c r="X336" i="4"/>
  <c r="H336" i="4"/>
  <c r="X459" i="4"/>
  <c r="H459" i="4"/>
  <c r="X281" i="4"/>
  <c r="H281" i="4"/>
  <c r="X389" i="4"/>
  <c r="H389" i="4"/>
  <c r="X257" i="4"/>
  <c r="H257" i="4"/>
  <c r="X333" i="4"/>
  <c r="H333" i="4"/>
  <c r="X354" i="4"/>
  <c r="AD354" i="4"/>
  <c r="H354" i="4"/>
  <c r="H394" i="4"/>
  <c r="X394" i="4"/>
  <c r="X369" i="4"/>
  <c r="H369" i="4"/>
  <c r="AA369" i="4"/>
  <c r="AD369" i="4"/>
  <c r="X458" i="4"/>
  <c r="H458" i="4"/>
  <c r="AA379" i="4"/>
  <c r="AD379" i="4"/>
  <c r="X379" i="4"/>
  <c r="H379" i="4"/>
  <c r="X545" i="4"/>
  <c r="H545" i="4"/>
  <c r="X510" i="4"/>
  <c r="H510" i="4"/>
  <c r="X529" i="4"/>
  <c r="H529" i="4"/>
  <c r="X583" i="4"/>
  <c r="H583" i="4"/>
  <c r="AA583" i="4"/>
  <c r="AD583" i="4"/>
  <c r="X593" i="4"/>
  <c r="H593" i="4"/>
  <c r="AA593" i="4"/>
  <c r="AD593" i="4"/>
  <c r="X611" i="4"/>
  <c r="H611" i="4"/>
  <c r="AA611" i="4"/>
  <c r="AD611" i="4"/>
  <c r="AA514" i="4"/>
  <c r="Z514" i="4"/>
  <c r="X557" i="4"/>
  <c r="H557" i="4"/>
  <c r="AA557" i="4"/>
  <c r="AD557" i="4"/>
  <c r="X679" i="4"/>
  <c r="H679" i="4"/>
  <c r="K532" i="4"/>
  <c r="J532" i="4"/>
  <c r="AB532" i="4" s="1"/>
  <c r="I532" i="4"/>
  <c r="Y532" i="4" s="1"/>
  <c r="Z532" i="4" s="1"/>
  <c r="AA590" i="4"/>
  <c r="AD590" i="4"/>
  <c r="X590" i="4"/>
  <c r="H590" i="4"/>
  <c r="AA608" i="4"/>
  <c r="AD608" i="4"/>
  <c r="X608" i="4"/>
  <c r="H608" i="4"/>
  <c r="X701" i="4"/>
  <c r="H701" i="4"/>
  <c r="H706" i="4" s="1"/>
  <c r="X652" i="4"/>
  <c r="H652" i="4"/>
  <c r="H1366" i="4"/>
  <c r="X1366" i="4"/>
  <c r="J1412" i="4"/>
  <c r="I1412" i="4"/>
  <c r="H1424" i="4"/>
  <c r="K1412" i="4"/>
  <c r="K1397" i="4"/>
  <c r="J1397" i="4"/>
  <c r="I1397" i="4"/>
  <c r="K1434" i="4"/>
  <c r="J1434" i="4"/>
  <c r="I1434" i="4"/>
  <c r="K1445" i="4"/>
  <c r="J1445" i="4"/>
  <c r="I1445" i="4"/>
  <c r="J282" i="4"/>
  <c r="I282" i="4"/>
  <c r="Y282" i="4" s="1"/>
  <c r="Z282" i="4" s="1"/>
  <c r="K282" i="4"/>
  <c r="AB268" i="4"/>
  <c r="AC268" i="4" s="1"/>
  <c r="AD253" i="4"/>
  <c r="AE253" i="4" s="1"/>
  <c r="AC253" i="4"/>
  <c r="J236" i="4"/>
  <c r="I236" i="4"/>
  <c r="Y236" i="4" s="1"/>
  <c r="K236" i="4"/>
  <c r="AA1368" i="4"/>
  <c r="Z1368" i="4"/>
  <c r="J203" i="4"/>
  <c r="AB203" i="4" s="1"/>
  <c r="AC203" i="4" s="1"/>
  <c r="K203" i="4"/>
  <c r="AE203" i="4" s="1"/>
  <c r="AF203" i="4" s="1"/>
  <c r="I203" i="4"/>
  <c r="Y203" i="4" s="1"/>
  <c r="Z203" i="4" s="1"/>
  <c r="AF191" i="4"/>
  <c r="AE187" i="4"/>
  <c r="AF187" i="4" s="1"/>
  <c r="AF172" i="4"/>
  <c r="AF94" i="4"/>
  <c r="AC173" i="4"/>
  <c r="AD173" i="4"/>
  <c r="J93" i="4"/>
  <c r="I93" i="4"/>
  <c r="Y93" i="4" s="1"/>
  <c r="Z93" i="4" s="1"/>
  <c r="K93" i="4"/>
  <c r="J81" i="4"/>
  <c r="I81" i="4"/>
  <c r="Y81" i="4" s="1"/>
  <c r="Z81" i="4" s="1"/>
  <c r="K81" i="4"/>
  <c r="I174" i="2"/>
  <c r="H193" i="4"/>
  <c r="AB185" i="4"/>
  <c r="AC185" i="4" s="1"/>
  <c r="AF176" i="4"/>
  <c r="AA167" i="4"/>
  <c r="AB109" i="4"/>
  <c r="AC109" i="4" s="1"/>
  <c r="AA83" i="4"/>
  <c r="AE131" i="4"/>
  <c r="AF131" i="4" s="1"/>
  <c r="I1422" i="4"/>
  <c r="K1422" i="4"/>
  <c r="J1422" i="4"/>
  <c r="J1402" i="4"/>
  <c r="I1402" i="4"/>
  <c r="K1402" i="4"/>
  <c r="H1425" i="4"/>
  <c r="J1371" i="4"/>
  <c r="AB1371" i="4" s="1"/>
  <c r="K1371" i="4"/>
  <c r="I1371" i="4"/>
  <c r="Y1371" i="4" s="1"/>
  <c r="Z1371" i="4" s="1"/>
  <c r="AE1307" i="4"/>
  <c r="AF1307" i="4" s="1"/>
  <c r="AF1308" i="4"/>
  <c r="N1310" i="4"/>
  <c r="AB1186" i="4"/>
  <c r="S1311" i="4"/>
  <c r="Z863" i="4"/>
  <c r="Y863" i="4" s="1"/>
  <c r="AA699" i="4"/>
  <c r="H693" i="4"/>
  <c r="I687" i="4"/>
  <c r="K687" i="4"/>
  <c r="J687" i="4"/>
  <c r="AD688" i="4"/>
  <c r="AC688" i="4"/>
  <c r="AE642" i="4"/>
  <c r="AE626" i="4"/>
  <c r="J703" i="4"/>
  <c r="AB703" i="4" s="1"/>
  <c r="I703" i="4"/>
  <c r="Y703" i="4" s="1"/>
  <c r="Z703" i="4" s="1"/>
  <c r="K703" i="4"/>
  <c r="AA678" i="4"/>
  <c r="AB626" i="4"/>
  <c r="AC626" i="4" s="1"/>
  <c r="AD624" i="4"/>
  <c r="AC624" i="4"/>
  <c r="AE559" i="4"/>
  <c r="AF559" i="4" s="1"/>
  <c r="AE586" i="4"/>
  <c r="AF586" i="4" s="1"/>
  <c r="Y655" i="4"/>
  <c r="Z655" i="4" s="1"/>
  <c r="AD572" i="4"/>
  <c r="AE572" i="4" s="1"/>
  <c r="AC572" i="4"/>
  <c r="Z547" i="4"/>
  <c r="AA547" i="4"/>
  <c r="AD513" i="4"/>
  <c r="J465" i="4"/>
  <c r="AB465" i="4" s="1"/>
  <c r="I465" i="4"/>
  <c r="Y465" i="4" s="1"/>
  <c r="Z465" i="4" s="1"/>
  <c r="K465" i="4"/>
  <c r="AA449" i="4"/>
  <c r="Z449" i="4"/>
  <c r="AF351" i="4"/>
  <c r="I560" i="4"/>
  <c r="Y560" i="4" s="1"/>
  <c r="Z560" i="4" s="1"/>
  <c r="K560" i="4"/>
  <c r="AE560" i="4" s="1"/>
  <c r="AF560" i="4" s="1"/>
  <c r="AF548" i="4"/>
  <c r="AD450" i="4"/>
  <c r="AC450" i="4"/>
  <c r="Y435" i="4"/>
  <c r="Z435" i="4" s="1"/>
  <c r="AD396" i="4"/>
  <c r="I374" i="4"/>
  <c r="K374" i="4"/>
  <c r="J374" i="4"/>
  <c r="AC436" i="4"/>
  <c r="AF424" i="4"/>
  <c r="AA1367" i="4"/>
  <c r="AB1367" i="4" s="1"/>
  <c r="Z1367" i="4"/>
  <c r="AD370" i="4"/>
  <c r="X370" i="4"/>
  <c r="H370" i="4"/>
  <c r="AA370" i="4"/>
  <c r="X337" i="4"/>
  <c r="H337" i="4"/>
  <c r="Z296" i="4"/>
  <c r="AA296" i="4"/>
  <c r="X248" i="4"/>
  <c r="H248" i="4"/>
  <c r="AF215" i="4"/>
  <c r="J204" i="4"/>
  <c r="AB204" i="4" s="1"/>
  <c r="AC204" i="4" s="1"/>
  <c r="K204" i="4"/>
  <c r="AE204" i="4" s="1"/>
  <c r="AF204" i="4" s="1"/>
  <c r="I204" i="4"/>
  <c r="Y204" i="4" s="1"/>
  <c r="Z204" i="4" s="1"/>
  <c r="Z202" i="4"/>
  <c r="Z185" i="4"/>
  <c r="H112" i="4"/>
  <c r="X116" i="4"/>
  <c r="X112" i="4"/>
  <c r="X306" i="4"/>
  <c r="H306" i="4"/>
  <c r="AA306" i="4"/>
  <c r="AD306" i="4"/>
  <c r="AA399" i="4"/>
  <c r="AD558" i="4"/>
  <c r="X558" i="4"/>
  <c r="H558" i="4"/>
  <c r="AA558" i="4"/>
  <c r="X410" i="4"/>
  <c r="H410" i="4"/>
  <c r="X574" i="4"/>
  <c r="H574" i="4"/>
  <c r="K1369" i="4"/>
  <c r="J1369" i="4"/>
  <c r="AB1369" i="4" s="1"/>
  <c r="I1369" i="4"/>
  <c r="Y1369" i="4" s="1"/>
  <c r="Z1369" i="4" s="1"/>
  <c r="AB513" i="4"/>
  <c r="AC513" i="4" s="1"/>
  <c r="X250" i="4"/>
  <c r="H250" i="4"/>
  <c r="X235" i="4"/>
  <c r="H235" i="4"/>
  <c r="AD231" i="4"/>
  <c r="AC231" i="4"/>
  <c r="AE217" i="4"/>
  <c r="AF217" i="4" s="1"/>
  <c r="J205" i="4"/>
  <c r="AB205" i="4" s="1"/>
  <c r="AC205" i="4" s="1"/>
  <c r="I205" i="4"/>
  <c r="Y205" i="4" s="1"/>
  <c r="Z205" i="4" s="1"/>
  <c r="K205" i="4"/>
  <c r="AE205" i="4" s="1"/>
  <c r="AF205" i="4" s="1"/>
  <c r="AC189" i="4"/>
  <c r="X105" i="4"/>
  <c r="H105" i="4"/>
  <c r="X82" i="4"/>
  <c r="H82" i="4"/>
  <c r="AD462" i="4"/>
  <c r="AC462" i="4"/>
  <c r="J390" i="4"/>
  <c r="AB390" i="4" s="1"/>
  <c r="I390" i="4"/>
  <c r="Y390" i="4" s="1"/>
  <c r="Z390" i="4" s="1"/>
  <c r="K390" i="4"/>
  <c r="AE200" i="4"/>
  <c r="AF200" i="4" s="1"/>
  <c r="J188" i="4"/>
  <c r="AB188" i="4" s="1"/>
  <c r="AC188" i="4" s="1"/>
  <c r="I188" i="4"/>
  <c r="Y188" i="4" s="1"/>
  <c r="Z188" i="4" s="1"/>
  <c r="K188" i="4"/>
  <c r="AE188" i="4" s="1"/>
  <c r="AF188" i="4" s="1"/>
  <c r="AA89" i="4"/>
  <c r="H227" i="4"/>
  <c r="X227" i="4"/>
  <c r="X256" i="4"/>
  <c r="H256" i="4"/>
  <c r="AD349" i="4"/>
  <c r="X349" i="4"/>
  <c r="H349" i="4"/>
  <c r="X249" i="4"/>
  <c r="H249" i="4"/>
  <c r="X283" i="4"/>
  <c r="H283" i="4"/>
  <c r="X391" i="4"/>
  <c r="H391" i="4"/>
  <c r="X266" i="4"/>
  <c r="H266" i="4"/>
  <c r="AD347" i="4"/>
  <c r="X347" i="4"/>
  <c r="H347" i="4"/>
  <c r="X374" i="4"/>
  <c r="AA374" i="4"/>
  <c r="AD374" i="4"/>
  <c r="X371" i="4"/>
  <c r="H371" i="4"/>
  <c r="AA371" i="4"/>
  <c r="AD371" i="4"/>
  <c r="X464" i="4"/>
  <c r="H464" i="4"/>
  <c r="X414" i="4"/>
  <c r="H414" i="4"/>
  <c r="X630" i="4"/>
  <c r="H630" i="4"/>
  <c r="I512" i="4"/>
  <c r="Y512" i="4" s="1"/>
  <c r="Z512" i="4" s="1"/>
  <c r="K512" i="4"/>
  <c r="J512" i="4"/>
  <c r="AB512" i="4" s="1"/>
  <c r="X531" i="4"/>
  <c r="H531" i="4"/>
  <c r="X587" i="4"/>
  <c r="H587" i="4"/>
  <c r="AA587" i="4"/>
  <c r="AD587" i="4"/>
  <c r="X603" i="4"/>
  <c r="H603" i="4"/>
  <c r="AA603" i="4"/>
  <c r="AD603" i="4"/>
  <c r="H657" i="4"/>
  <c r="X657" i="4"/>
  <c r="AA516" i="4"/>
  <c r="H622" i="4"/>
  <c r="X622" i="4"/>
  <c r="X509" i="4"/>
  <c r="H509" i="4"/>
  <c r="X570" i="4"/>
  <c r="H570" i="4"/>
  <c r="AA592" i="4"/>
  <c r="AD592" i="4"/>
  <c r="H592" i="4"/>
  <c r="X592" i="4"/>
  <c r="AA610" i="4"/>
  <c r="AD610" i="4"/>
  <c r="X610" i="4"/>
  <c r="H610" i="4"/>
  <c r="X621" i="4"/>
  <c r="H621" i="4"/>
  <c r="X654" i="4"/>
  <c r="H654" i="4"/>
  <c r="AA1364" i="4"/>
  <c r="H1372" i="4"/>
  <c r="X1372" i="4"/>
  <c r="I1396" i="4"/>
  <c r="K1396" i="4"/>
  <c r="J1396" i="4"/>
  <c r="I1433" i="4"/>
  <c r="K1433" i="4"/>
  <c r="H1447" i="4"/>
  <c r="H1446" i="4"/>
  <c r="H1448" i="4" s="1"/>
  <c r="J1433" i="4"/>
  <c r="K1401" i="4"/>
  <c r="J1401" i="4"/>
  <c r="I1401" i="4"/>
  <c r="K1441" i="4"/>
  <c r="J1441" i="4"/>
  <c r="I1441" i="4"/>
  <c r="J461" i="4"/>
  <c r="AB461" i="4" s="1"/>
  <c r="I461" i="4"/>
  <c r="Y461" i="4" s="1"/>
  <c r="Z461" i="4" s="1"/>
  <c r="K461" i="4"/>
  <c r="J350" i="4"/>
  <c r="AB350" i="4" s="1"/>
  <c r="K350" i="4"/>
  <c r="AE350" i="4" s="1"/>
  <c r="AF350" i="4" s="1"/>
  <c r="I350" i="4"/>
  <c r="Y350" i="4" s="1"/>
  <c r="Z350" i="4" s="1"/>
  <c r="AA282" i="4"/>
  <c r="AE268" i="4"/>
  <c r="AA236" i="4"/>
  <c r="Z236" i="4"/>
  <c r="Z1370" i="4"/>
  <c r="AA1370" i="4"/>
  <c r="AB1370" i="4" s="1"/>
  <c r="AF175" i="4"/>
  <c r="AF128" i="4"/>
  <c r="AE114" i="4"/>
  <c r="AF114" i="4" s="1"/>
  <c r="J91" i="4"/>
  <c r="AB91" i="4" s="1"/>
  <c r="I91" i="4"/>
  <c r="Y91" i="4" s="1"/>
  <c r="Z91" i="4" s="1"/>
  <c r="K91" i="4"/>
  <c r="AE190" i="4"/>
  <c r="AF190" i="4" s="1"/>
  <c r="J127" i="4"/>
  <c r="I127" i="4"/>
  <c r="Y127" i="4" s="1"/>
  <c r="Z127" i="4" s="1"/>
  <c r="K127" i="4"/>
  <c r="Y110" i="4"/>
  <c r="Z110" i="4" s="1"/>
  <c r="AE107" i="4"/>
  <c r="AF107" i="4" s="1"/>
  <c r="AD95" i="4"/>
  <c r="AA93" i="4"/>
  <c r="AA81" i="4"/>
  <c r="H192" i="4"/>
  <c r="H194" i="4" s="1"/>
  <c r="AE185" i="4"/>
  <c r="AF185" i="4" s="1"/>
  <c r="H159" i="4"/>
  <c r="AE109" i="4"/>
  <c r="Y89" i="4"/>
  <c r="Z89" i="4" s="1"/>
  <c r="X864" i="4"/>
  <c r="AA864" i="4"/>
  <c r="K864" i="4"/>
  <c r="AF864" i="4" s="1"/>
  <c r="I864" i="4"/>
  <c r="Z864" i="4" s="1"/>
  <c r="Y864" i="4" s="1"/>
  <c r="AD864" i="4"/>
  <c r="J864" i="4"/>
  <c r="AC864" i="4" s="1"/>
  <c r="AB864" i="4" s="1"/>
  <c r="I88" i="2"/>
  <c r="J88" i="2" s="1"/>
  <c r="AE113" i="4"/>
  <c r="AF113" i="4" s="1"/>
  <c r="I163" i="2"/>
  <c r="I268" i="2"/>
  <c r="J268" i="2" s="1"/>
  <c r="G1146" i="4" s="1"/>
  <c r="H1146" i="4" s="1"/>
  <c r="I146" i="2"/>
  <c r="AB127" i="4" l="1"/>
  <c r="AE573" i="4"/>
  <c r="AA1325" i="4"/>
  <c r="AB460" i="4"/>
  <c r="AE392" i="4"/>
  <c r="AE864" i="4"/>
  <c r="H1426" i="4"/>
  <c r="Y829" i="4"/>
  <c r="Y931" i="4"/>
  <c r="Y1325" i="4"/>
  <c r="Y822" i="4"/>
  <c r="AB822" i="4"/>
  <c r="AD258" i="4"/>
  <c r="AE258" i="4" s="1"/>
  <c r="AF258" i="4" s="1"/>
  <c r="AB258" i="4"/>
  <c r="AC258" i="4" s="1"/>
  <c r="AD269" i="4"/>
  <c r="AE269" i="4" s="1"/>
  <c r="AF269" i="4" s="1"/>
  <c r="AB269" i="4"/>
  <c r="AC269" i="4" s="1"/>
  <c r="AE1289" i="4"/>
  <c r="K706" i="4"/>
  <c r="AE706" i="4" s="1"/>
  <c r="AF706" i="4" s="1"/>
  <c r="J706" i="4"/>
  <c r="AB706" i="4" s="1"/>
  <c r="AC706" i="4" s="1"/>
  <c r="I706" i="4"/>
  <c r="Y706" i="4" s="1"/>
  <c r="Z706" i="4" s="1"/>
  <c r="G927" i="4"/>
  <c r="H927" i="4" s="1"/>
  <c r="J146" i="2"/>
  <c r="I147" i="2"/>
  <c r="E69" i="4"/>
  <c r="AD93" i="4"/>
  <c r="AD282" i="4"/>
  <c r="K1447" i="4"/>
  <c r="J1447" i="4"/>
  <c r="I1447" i="4"/>
  <c r="J1372" i="4"/>
  <c r="K1372" i="4"/>
  <c r="I1372" i="4"/>
  <c r="Y1372" i="4" s="1"/>
  <c r="Z1372" i="4" s="1"/>
  <c r="AA654" i="4"/>
  <c r="K592" i="4"/>
  <c r="AE592" i="4" s="1"/>
  <c r="J592" i="4"/>
  <c r="AB592" i="4" s="1"/>
  <c r="I592" i="4"/>
  <c r="Y592" i="4" s="1"/>
  <c r="AA570" i="4"/>
  <c r="J622" i="4"/>
  <c r="I622" i="4"/>
  <c r="Y622" i="4" s="1"/>
  <c r="Z622" i="4" s="1"/>
  <c r="K622" i="4"/>
  <c r="J657" i="4"/>
  <c r="I657" i="4"/>
  <c r="Y657" i="4" s="1"/>
  <c r="K657" i="4"/>
  <c r="K414" i="4"/>
  <c r="J414" i="4"/>
  <c r="I414" i="4"/>
  <c r="Y414" i="4" s="1"/>
  <c r="AA347" i="4"/>
  <c r="J391" i="4"/>
  <c r="I391" i="4"/>
  <c r="Y391" i="4" s="1"/>
  <c r="K391" i="4"/>
  <c r="K249" i="4"/>
  <c r="J249" i="4"/>
  <c r="I249" i="4"/>
  <c r="Y249" i="4" s="1"/>
  <c r="H240" i="4"/>
  <c r="I227" i="4"/>
  <c r="K227" i="4"/>
  <c r="H239" i="4"/>
  <c r="J227" i="4"/>
  <c r="AA82" i="4"/>
  <c r="J250" i="4"/>
  <c r="I250" i="4"/>
  <c r="Y250" i="4" s="1"/>
  <c r="K250" i="4"/>
  <c r="K410" i="4"/>
  <c r="J410" i="4"/>
  <c r="I410" i="4"/>
  <c r="H415" i="4"/>
  <c r="H416" i="4"/>
  <c r="AA112" i="4"/>
  <c r="AD296" i="4"/>
  <c r="Y374" i="4"/>
  <c r="AE687" i="4"/>
  <c r="AF687" i="4" s="1"/>
  <c r="AD699" i="4"/>
  <c r="I90" i="2"/>
  <c r="AB81" i="4"/>
  <c r="I1366" i="4"/>
  <c r="Y1366" i="4" s="1"/>
  <c r="K1366" i="4"/>
  <c r="J1366" i="4"/>
  <c r="AA701" i="4"/>
  <c r="J679" i="4"/>
  <c r="I679" i="4"/>
  <c r="Y679" i="4" s="1"/>
  <c r="Z679" i="4" s="1"/>
  <c r="K679" i="4"/>
  <c r="H562" i="4"/>
  <c r="H561" i="4"/>
  <c r="K557" i="4"/>
  <c r="I557" i="4"/>
  <c r="J557" i="4"/>
  <c r="I529" i="4"/>
  <c r="Y529" i="4" s="1"/>
  <c r="Z529" i="4" s="1"/>
  <c r="K529" i="4"/>
  <c r="J529" i="4"/>
  <c r="J545" i="4"/>
  <c r="I545" i="4"/>
  <c r="Y545" i="4" s="1"/>
  <c r="K545" i="4"/>
  <c r="AA394" i="4"/>
  <c r="AA354" i="4"/>
  <c r="AA257" i="4"/>
  <c r="AA281" i="4"/>
  <c r="AA336" i="4"/>
  <c r="I214" i="4"/>
  <c r="K214" i="4"/>
  <c r="J214" i="4"/>
  <c r="H220" i="4"/>
  <c r="H221" i="4"/>
  <c r="AA84" i="4"/>
  <c r="AD463" i="4"/>
  <c r="AA133" i="4"/>
  <c r="AD233" i="4"/>
  <c r="AB233" i="4"/>
  <c r="AC233" i="4" s="1"/>
  <c r="AB678" i="4"/>
  <c r="AF628" i="4"/>
  <c r="AE699" i="4"/>
  <c r="AB699" i="4"/>
  <c r="AC699" i="4" s="1"/>
  <c r="AD1371" i="4"/>
  <c r="AE1371" i="4" s="1"/>
  <c r="AC1371" i="4"/>
  <c r="AE829" i="4"/>
  <c r="AC1309" i="4"/>
  <c r="AB83" i="4"/>
  <c r="AD104" i="4"/>
  <c r="AD85" i="4"/>
  <c r="AE85" i="4" s="1"/>
  <c r="K650" i="4"/>
  <c r="J650" i="4"/>
  <c r="H659" i="4"/>
  <c r="I650" i="4"/>
  <c r="H660" i="4"/>
  <c r="K606" i="4"/>
  <c r="AE606" i="4" s="1"/>
  <c r="J606" i="4"/>
  <c r="AB606" i="4" s="1"/>
  <c r="I606" i="4"/>
  <c r="Y606" i="4" s="1"/>
  <c r="K588" i="4"/>
  <c r="AE588" i="4" s="1"/>
  <c r="AF588" i="4" s="1"/>
  <c r="J588" i="4"/>
  <c r="AB588" i="4" s="1"/>
  <c r="AC588" i="4" s="1"/>
  <c r="I588" i="4"/>
  <c r="Y588" i="4" s="1"/>
  <c r="AA515" i="4"/>
  <c r="I609" i="4"/>
  <c r="Y609" i="4" s="1"/>
  <c r="K609" i="4"/>
  <c r="AE609" i="4" s="1"/>
  <c r="J609" i="4"/>
  <c r="AB609" i="4" s="1"/>
  <c r="I591" i="4"/>
  <c r="Y591" i="4" s="1"/>
  <c r="K591" i="4"/>
  <c r="AE591" i="4" s="1"/>
  <c r="AF591" i="4" s="1"/>
  <c r="J591" i="4"/>
  <c r="AB591" i="4" s="1"/>
  <c r="AC591" i="4" s="1"/>
  <c r="AB516" i="4"/>
  <c r="AA541" i="4"/>
  <c r="AD511" i="4"/>
  <c r="AD532" i="4"/>
  <c r="AC532" i="4"/>
  <c r="J348" i="4"/>
  <c r="I348" i="4"/>
  <c r="Y348" i="4" s="1"/>
  <c r="Z348" i="4" s="1"/>
  <c r="K348" i="4"/>
  <c r="AE348" i="4" s="1"/>
  <c r="I334" i="4"/>
  <c r="Y334" i="4" s="1"/>
  <c r="K334" i="4"/>
  <c r="J334" i="4"/>
  <c r="I165" i="4"/>
  <c r="K165" i="4"/>
  <c r="J165" i="4"/>
  <c r="K168" i="4"/>
  <c r="J168" i="4"/>
  <c r="I168" i="4"/>
  <c r="Y168" i="4" s="1"/>
  <c r="AA219" i="4"/>
  <c r="AA658" i="4"/>
  <c r="AD390" i="4"/>
  <c r="AC390" i="4"/>
  <c r="AB677" i="4"/>
  <c r="AB1365" i="4"/>
  <c r="AC1365" i="4" s="1"/>
  <c r="AB1289" i="4"/>
  <c r="E1166" i="4"/>
  <c r="G958" i="4"/>
  <c r="H958" i="4" s="1"/>
  <c r="Z958" i="4" s="1"/>
  <c r="G929" i="4"/>
  <c r="H929" i="4" s="1"/>
  <c r="Z929" i="4" s="1"/>
  <c r="E877" i="4"/>
  <c r="AB106" i="4"/>
  <c r="AF130" i="4"/>
  <c r="AD91" i="4"/>
  <c r="AE91" i="4" s="1"/>
  <c r="AC91" i="4"/>
  <c r="Y104" i="4"/>
  <c r="Z104" i="4" s="1"/>
  <c r="Y125" i="4"/>
  <c r="Z125" i="4" s="1"/>
  <c r="AC350" i="4"/>
  <c r="K638" i="4"/>
  <c r="J638" i="4"/>
  <c r="H644" i="4"/>
  <c r="I638" i="4"/>
  <c r="H643" i="4"/>
  <c r="K612" i="4"/>
  <c r="AE612" i="4" s="1"/>
  <c r="J612" i="4"/>
  <c r="AB612" i="4" s="1"/>
  <c r="I612" i="4"/>
  <c r="Y612" i="4" s="1"/>
  <c r="K602" i="4"/>
  <c r="H614" i="4"/>
  <c r="J602" i="4"/>
  <c r="H613" i="4"/>
  <c r="H615" i="4" s="1"/>
  <c r="I602" i="4"/>
  <c r="K584" i="4"/>
  <c r="AE584" i="4" s="1"/>
  <c r="J584" i="4"/>
  <c r="AB584" i="4" s="1"/>
  <c r="I584" i="4"/>
  <c r="Y584" i="4" s="1"/>
  <c r="J651" i="4"/>
  <c r="I651" i="4"/>
  <c r="Y651" i="4" s="1"/>
  <c r="K651" i="4"/>
  <c r="K467" i="4"/>
  <c r="J467" i="4"/>
  <c r="I467" i="4"/>
  <c r="Y467" i="4" s="1"/>
  <c r="AA446" i="4"/>
  <c r="AA353" i="4"/>
  <c r="J372" i="4"/>
  <c r="AB372" i="4" s="1"/>
  <c r="I372" i="4"/>
  <c r="Y372" i="4" s="1"/>
  <c r="K372" i="4"/>
  <c r="AE372" i="4" s="1"/>
  <c r="AF372" i="4" s="1"/>
  <c r="K251" i="4"/>
  <c r="J251" i="4"/>
  <c r="I251" i="4"/>
  <c r="Y251" i="4" s="1"/>
  <c r="AA228" i="4"/>
  <c r="K80" i="4"/>
  <c r="J80" i="4"/>
  <c r="I80" i="4"/>
  <c r="H95" i="4"/>
  <c r="H96" i="4"/>
  <c r="J201" i="4"/>
  <c r="I201" i="4"/>
  <c r="K201" i="4"/>
  <c r="H208" i="4"/>
  <c r="H207" i="4"/>
  <c r="AB623" i="4"/>
  <c r="AD1369" i="4"/>
  <c r="AC1369" i="4"/>
  <c r="AD465" i="4"/>
  <c r="AC465" i="4"/>
  <c r="AF528" i="4"/>
  <c r="H682" i="4"/>
  <c r="AA681" i="4"/>
  <c r="Z981" i="4"/>
  <c r="M1179" i="4"/>
  <c r="AC1179" i="4" s="1"/>
  <c r="AB1179" i="4" s="1"/>
  <c r="AC1176" i="4"/>
  <c r="M1180" i="4"/>
  <c r="K1099" i="4"/>
  <c r="J1099" i="4"/>
  <c r="I1099" i="4"/>
  <c r="Z1192" i="4"/>
  <c r="K833" i="4"/>
  <c r="AF833" i="4" s="1"/>
  <c r="J833" i="4"/>
  <c r="AC833" i="4" s="1"/>
  <c r="I833" i="4"/>
  <c r="Z833" i="4" s="1"/>
  <c r="Z1146" i="4"/>
  <c r="H1151" i="4"/>
  <c r="H1150" i="4"/>
  <c r="K621" i="4"/>
  <c r="H632" i="4"/>
  <c r="J621" i="4"/>
  <c r="I621" i="4"/>
  <c r="H631" i="4"/>
  <c r="H633" i="4" s="1"/>
  <c r="AF592" i="4"/>
  <c r="K509" i="4"/>
  <c r="H518" i="4"/>
  <c r="J509" i="4"/>
  <c r="I509" i="4"/>
  <c r="H519" i="4"/>
  <c r="H520" i="4" s="1"/>
  <c r="I531" i="4"/>
  <c r="Y531" i="4" s="1"/>
  <c r="Z531" i="4" s="1"/>
  <c r="K531" i="4"/>
  <c r="J531" i="4"/>
  <c r="AA414" i="4"/>
  <c r="Z414" i="4"/>
  <c r="AA391" i="4"/>
  <c r="Z391" i="4"/>
  <c r="AA249" i="4"/>
  <c r="Z249" i="4"/>
  <c r="I256" i="4"/>
  <c r="Y256" i="4" s="1"/>
  <c r="K256" i="4"/>
  <c r="J256" i="4"/>
  <c r="AD89" i="4"/>
  <c r="K105" i="4"/>
  <c r="J105" i="4"/>
  <c r="I105" i="4"/>
  <c r="Y105" i="4" s="1"/>
  <c r="Z250" i="4"/>
  <c r="AA250" i="4"/>
  <c r="AE1369" i="4"/>
  <c r="AA410" i="4"/>
  <c r="AA116" i="4"/>
  <c r="J370" i="4"/>
  <c r="AB370" i="4" s="1"/>
  <c r="AC370" i="4" s="1"/>
  <c r="I370" i="4"/>
  <c r="Y370" i="4" s="1"/>
  <c r="K370" i="4"/>
  <c r="AE370" i="4" s="1"/>
  <c r="AF572" i="4"/>
  <c r="AD678" i="4"/>
  <c r="AE678" i="4" s="1"/>
  <c r="AC678" i="4"/>
  <c r="Y687" i="4"/>
  <c r="Z687" i="4" s="1"/>
  <c r="J1425" i="4"/>
  <c r="I1425" i="4"/>
  <c r="K1425" i="4"/>
  <c r="AD83" i="4"/>
  <c r="AC83" i="4"/>
  <c r="D1195" i="4"/>
  <c r="H1195" i="4" s="1"/>
  <c r="Z1195" i="4" s="1"/>
  <c r="I1195" i="4"/>
  <c r="M1195" i="4" s="1"/>
  <c r="AC1195" i="4" s="1"/>
  <c r="I1071" i="4"/>
  <c r="J1071" i="4" s="1"/>
  <c r="Z1071" i="4" s="1"/>
  <c r="G1070" i="4"/>
  <c r="H1070" i="4" s="1"/>
  <c r="AC1070" i="4" s="1"/>
  <c r="G1089" i="4"/>
  <c r="H1089" i="4" s="1"/>
  <c r="Z1089" i="4" s="1"/>
  <c r="G1049" i="4"/>
  <c r="H1049" i="4" s="1"/>
  <c r="Z1049" i="4" s="1"/>
  <c r="E941" i="4"/>
  <c r="G1071" i="4"/>
  <c r="H1071" i="4" s="1"/>
  <c r="AC1071" i="4" s="1"/>
  <c r="I1070" i="4"/>
  <c r="J1070" i="4" s="1"/>
  <c r="Z1070" i="4" s="1"/>
  <c r="G1013" i="4"/>
  <c r="H1013" i="4" s="1"/>
  <c r="Z1013" i="4" s="1"/>
  <c r="G987" i="4"/>
  <c r="H987" i="4" s="1"/>
  <c r="Z987" i="4" s="1"/>
  <c r="G1050" i="4"/>
  <c r="H1050" i="4" s="1"/>
  <c r="Z1050" i="4" s="1"/>
  <c r="G1037" i="4"/>
  <c r="H1037" i="4" s="1"/>
  <c r="I175" i="2"/>
  <c r="AE93" i="4"/>
  <c r="AB236" i="4"/>
  <c r="AC236" i="4" s="1"/>
  <c r="AE282" i="4"/>
  <c r="K652" i="4"/>
  <c r="J652" i="4"/>
  <c r="I652" i="4"/>
  <c r="Y652" i="4" s="1"/>
  <c r="K608" i="4"/>
  <c r="AE608" i="4" s="1"/>
  <c r="J608" i="4"/>
  <c r="AB608" i="4" s="1"/>
  <c r="AC608" i="4" s="1"/>
  <c r="I608" i="4"/>
  <c r="Y608" i="4" s="1"/>
  <c r="K590" i="4"/>
  <c r="AE590" i="4" s="1"/>
  <c r="AF590" i="4" s="1"/>
  <c r="J590" i="4"/>
  <c r="AB590" i="4" s="1"/>
  <c r="AC590" i="4" s="1"/>
  <c r="I590" i="4"/>
  <c r="Y590" i="4" s="1"/>
  <c r="AA679" i="4"/>
  <c r="AA529" i="4"/>
  <c r="Z545" i="4"/>
  <c r="AA545" i="4"/>
  <c r="I394" i="4"/>
  <c r="Y394" i="4" s="1"/>
  <c r="Z394" i="4" s="1"/>
  <c r="K394" i="4"/>
  <c r="J394" i="4"/>
  <c r="AB394" i="4" s="1"/>
  <c r="K333" i="4"/>
  <c r="J333" i="4"/>
  <c r="I333" i="4"/>
  <c r="H339" i="4"/>
  <c r="H338" i="4"/>
  <c r="J389" i="4"/>
  <c r="I389" i="4"/>
  <c r="Y389" i="4" s="1"/>
  <c r="K389" i="4"/>
  <c r="J459" i="4"/>
  <c r="I459" i="4"/>
  <c r="Y459" i="4" s="1"/>
  <c r="K459" i="4"/>
  <c r="AA230" i="4"/>
  <c r="AD110" i="4"/>
  <c r="AB110" i="4"/>
  <c r="AC110" i="4" s="1"/>
  <c r="J280" i="4"/>
  <c r="I280" i="4"/>
  <c r="Y280" i="4" s="1"/>
  <c r="K280" i="4"/>
  <c r="K126" i="4"/>
  <c r="J126" i="4"/>
  <c r="I126" i="4"/>
  <c r="Y126" i="4" s="1"/>
  <c r="AA137" i="4"/>
  <c r="AB296" i="4"/>
  <c r="AC296" i="4" s="1"/>
  <c r="AB388" i="4"/>
  <c r="AF642" i="4"/>
  <c r="AE688" i="4"/>
  <c r="AF688" i="4" s="1"/>
  <c r="H707" i="4"/>
  <c r="AB167" i="4"/>
  <c r="AD87" i="4"/>
  <c r="AC87" i="4"/>
  <c r="K1405" i="4"/>
  <c r="J1405" i="4"/>
  <c r="I1405" i="4"/>
  <c r="AD1365" i="4"/>
  <c r="AA650" i="4"/>
  <c r="Z606" i="4"/>
  <c r="Z588" i="4"/>
  <c r="K515" i="4"/>
  <c r="J515" i="4"/>
  <c r="AB515" i="4" s="1"/>
  <c r="I515" i="4"/>
  <c r="Y515" i="4" s="1"/>
  <c r="Z515" i="4" s="1"/>
  <c r="AC512" i="4"/>
  <c r="AD512" i="4"/>
  <c r="AE512" i="4" s="1"/>
  <c r="Z609" i="4"/>
  <c r="Z591" i="4"/>
  <c r="Z543" i="4"/>
  <c r="AA543" i="4"/>
  <c r="AB543" i="4" s="1"/>
  <c r="K434" i="4"/>
  <c r="H438" i="4"/>
  <c r="J434" i="4"/>
  <c r="I434" i="4"/>
  <c r="H437" i="4"/>
  <c r="AA393" i="4"/>
  <c r="K255" i="4"/>
  <c r="J255" i="4"/>
  <c r="I255" i="4"/>
  <c r="Y255" i="4" s="1"/>
  <c r="AA348" i="4"/>
  <c r="H427" i="4"/>
  <c r="J423" i="4"/>
  <c r="H426" i="4"/>
  <c r="H428" i="4" s="1"/>
  <c r="I423" i="4"/>
  <c r="K423" i="4"/>
  <c r="AA334" i="4"/>
  <c r="Z334" i="4"/>
  <c r="AA165" i="4"/>
  <c r="AA168" i="4"/>
  <c r="Z168" i="4"/>
  <c r="AB463" i="4"/>
  <c r="AC463" i="4" s="1"/>
  <c r="AA1374" i="4"/>
  <c r="I571" i="4"/>
  <c r="Y571" i="4" s="1"/>
  <c r="K571" i="4"/>
  <c r="J571" i="4"/>
  <c r="AE624" i="4"/>
  <c r="AE1365" i="4"/>
  <c r="AD1310" i="4"/>
  <c r="AE1310" i="4"/>
  <c r="AF171" i="4"/>
  <c r="AD127" i="4"/>
  <c r="AC127" i="4"/>
  <c r="H118" i="4"/>
  <c r="H139" i="4"/>
  <c r="AA638" i="4"/>
  <c r="Z612" i="4"/>
  <c r="Z584" i="4"/>
  <c r="AB511" i="4"/>
  <c r="AC511" i="4" s="1"/>
  <c r="K526" i="4"/>
  <c r="J526" i="4"/>
  <c r="I526" i="4"/>
  <c r="H534" i="4"/>
  <c r="H533" i="4"/>
  <c r="I569" i="4"/>
  <c r="H577" i="4"/>
  <c r="K569" i="4"/>
  <c r="J569" i="4"/>
  <c r="H576" i="4"/>
  <c r="K446" i="4"/>
  <c r="H451" i="4"/>
  <c r="J446" i="4"/>
  <c r="I446" i="4"/>
  <c r="H452" i="4"/>
  <c r="H453" i="4" s="1"/>
  <c r="I447" i="4"/>
  <c r="Y447" i="4" s="1"/>
  <c r="Z447" i="4" s="1"/>
  <c r="K447" i="4"/>
  <c r="J447" i="4"/>
  <c r="I378" i="4"/>
  <c r="Y378" i="4" s="1"/>
  <c r="K378" i="4"/>
  <c r="AE378" i="4" s="1"/>
  <c r="J378" i="4"/>
  <c r="AB378" i="4" s="1"/>
  <c r="AC378" i="4" s="1"/>
  <c r="Z372" i="4"/>
  <c r="AA251" i="4"/>
  <c r="Z251" i="4"/>
  <c r="I228" i="4"/>
  <c r="Y228" i="4" s="1"/>
  <c r="Z228" i="4" s="1"/>
  <c r="K228" i="4"/>
  <c r="J228" i="4"/>
  <c r="AB228" i="4" s="1"/>
  <c r="AA80" i="4"/>
  <c r="AD232" i="4"/>
  <c r="AB232" i="4"/>
  <c r="AC232" i="4" s="1"/>
  <c r="K702" i="4"/>
  <c r="J702" i="4"/>
  <c r="I702" i="4"/>
  <c r="Y702" i="4" s="1"/>
  <c r="AD388" i="4"/>
  <c r="AC388" i="4"/>
  <c r="K396" i="4"/>
  <c r="AE396" i="4" s="1"/>
  <c r="J396" i="4"/>
  <c r="AB396" i="4" s="1"/>
  <c r="AC396" i="4" s="1"/>
  <c r="I396" i="4"/>
  <c r="Y396" i="4" s="1"/>
  <c r="Z396" i="4" s="1"/>
  <c r="AE517" i="4"/>
  <c r="AF517" i="4" s="1"/>
  <c r="Y676" i="4"/>
  <c r="Z676" i="4" s="1"/>
  <c r="AF626" i="4"/>
  <c r="X1068" i="4"/>
  <c r="Y1068" i="4" s="1"/>
  <c r="AA1068" i="4"/>
  <c r="X985" i="4"/>
  <c r="Y985" i="4" s="1"/>
  <c r="X951" i="4"/>
  <c r="X1015" i="4"/>
  <c r="X972" i="4"/>
  <c r="Y972" i="4" s="1"/>
  <c r="AA782" i="4"/>
  <c r="AC782" i="4" s="1"/>
  <c r="X782" i="4"/>
  <c r="Z782" i="4" s="1"/>
  <c r="Y928" i="4"/>
  <c r="Z1011" i="4"/>
  <c r="AC1064" i="4"/>
  <c r="H1180" i="4"/>
  <c r="H1179" i="4"/>
  <c r="Z1179" i="4" s="1"/>
  <c r="Y1179" i="4" s="1"/>
  <c r="Z1176" i="4"/>
  <c r="R1198" i="4"/>
  <c r="AF1198" i="4" s="1"/>
  <c r="AE1198" i="4" s="1"/>
  <c r="AF1192" i="4"/>
  <c r="R1199" i="4"/>
  <c r="R1200" i="4"/>
  <c r="J826" i="4"/>
  <c r="AC826" i="4" s="1"/>
  <c r="I826" i="4"/>
  <c r="Z826" i="4" s="1"/>
  <c r="K826" i="4"/>
  <c r="AF826" i="4" s="1"/>
  <c r="J192" i="4"/>
  <c r="AB192" i="4" s="1"/>
  <c r="AC192" i="4" s="1"/>
  <c r="I192" i="4"/>
  <c r="Y192" i="4" s="1"/>
  <c r="Z192" i="4" s="1"/>
  <c r="K192" i="4"/>
  <c r="G1001" i="4"/>
  <c r="H1001" i="4" s="1"/>
  <c r="Z1001" i="4" s="1"/>
  <c r="J163" i="2"/>
  <c r="I164" i="2"/>
  <c r="AD81" i="4"/>
  <c r="AE81" i="4" s="1"/>
  <c r="AC81" i="4"/>
  <c r="AD236" i="4"/>
  <c r="AE236" i="4" s="1"/>
  <c r="AD1364" i="4"/>
  <c r="AA621" i="4"/>
  <c r="AC592" i="4"/>
  <c r="AA509" i="4"/>
  <c r="AC516" i="4"/>
  <c r="AD516" i="4"/>
  <c r="AA531" i="4"/>
  <c r="J630" i="4"/>
  <c r="I630" i="4"/>
  <c r="Y630" i="4" s="1"/>
  <c r="K630" i="4"/>
  <c r="K464" i="4"/>
  <c r="J464" i="4"/>
  <c r="I464" i="4"/>
  <c r="Y464" i="4" s="1"/>
  <c r="Z464" i="4" s="1"/>
  <c r="K371" i="4"/>
  <c r="AE371" i="4" s="1"/>
  <c r="AF371" i="4" s="1"/>
  <c r="J371" i="4"/>
  <c r="AB371" i="4" s="1"/>
  <c r="AC371" i="4" s="1"/>
  <c r="I371" i="4"/>
  <c r="Y371" i="4" s="1"/>
  <c r="Z374" i="4"/>
  <c r="K266" i="4"/>
  <c r="H271" i="4"/>
  <c r="J266" i="4"/>
  <c r="I266" i="4"/>
  <c r="H272" i="4"/>
  <c r="K283" i="4"/>
  <c r="J283" i="4"/>
  <c r="I283" i="4"/>
  <c r="Y283" i="4" s="1"/>
  <c r="J349" i="4"/>
  <c r="K349" i="4"/>
  <c r="AE349" i="4" s="1"/>
  <c r="AF349" i="4" s="1"/>
  <c r="I349" i="4"/>
  <c r="Y349" i="4" s="1"/>
  <c r="AA256" i="4"/>
  <c r="Z256" i="4"/>
  <c r="AE390" i="4"/>
  <c r="AA105" i="4"/>
  <c r="Z105" i="4"/>
  <c r="J235" i="4"/>
  <c r="I235" i="4"/>
  <c r="Y235" i="4" s="1"/>
  <c r="K235" i="4"/>
  <c r="K574" i="4"/>
  <c r="J574" i="4"/>
  <c r="I574" i="4"/>
  <c r="Y574" i="4" s="1"/>
  <c r="I306" i="4"/>
  <c r="Y306" i="4" s="1"/>
  <c r="K306" i="4"/>
  <c r="AE306" i="4" s="1"/>
  <c r="AF306" i="4" s="1"/>
  <c r="J306" i="4"/>
  <c r="AB306" i="4" s="1"/>
  <c r="AC306" i="4" s="1"/>
  <c r="K112" i="4"/>
  <c r="J112" i="4"/>
  <c r="AB112" i="4" s="1"/>
  <c r="I112" i="4"/>
  <c r="Y112" i="4" s="1"/>
  <c r="Z112" i="4" s="1"/>
  <c r="H259" i="4"/>
  <c r="J248" i="4"/>
  <c r="I248" i="4"/>
  <c r="H260" i="4"/>
  <c r="K248" i="4"/>
  <c r="J337" i="4"/>
  <c r="K337" i="4"/>
  <c r="I337" i="4"/>
  <c r="Y337" i="4" s="1"/>
  <c r="Z337" i="4" s="1"/>
  <c r="Z370" i="4"/>
  <c r="AD1367" i="4"/>
  <c r="AC1367" i="4"/>
  <c r="AB374" i="4"/>
  <c r="AC374" i="4" s="1"/>
  <c r="AF396" i="4"/>
  <c r="AD547" i="4"/>
  <c r="AF624" i="4"/>
  <c r="AA1310" i="4"/>
  <c r="AB1310" i="4" s="1"/>
  <c r="AD167" i="4"/>
  <c r="AC167" i="4"/>
  <c r="AD1368" i="4"/>
  <c r="AA652" i="4"/>
  <c r="Z652" i="4"/>
  <c r="Z608" i="4"/>
  <c r="Z590" i="4"/>
  <c r="I611" i="4"/>
  <c r="Y611" i="4" s="1"/>
  <c r="K611" i="4"/>
  <c r="AE611" i="4" s="1"/>
  <c r="AF611" i="4" s="1"/>
  <c r="J611" i="4"/>
  <c r="AB611" i="4" s="1"/>
  <c r="AC611" i="4" s="1"/>
  <c r="I593" i="4"/>
  <c r="Y593" i="4" s="1"/>
  <c r="K593" i="4"/>
  <c r="AE593" i="4" s="1"/>
  <c r="AF593" i="4" s="1"/>
  <c r="J593" i="4"/>
  <c r="AB593" i="4" s="1"/>
  <c r="AC593" i="4" s="1"/>
  <c r="H594" i="4"/>
  <c r="I583" i="4"/>
  <c r="K583" i="4"/>
  <c r="H595" i="4"/>
  <c r="J583" i="4"/>
  <c r="I510" i="4"/>
  <c r="Y510" i="4" s="1"/>
  <c r="K510" i="4"/>
  <c r="J510" i="4"/>
  <c r="K379" i="4"/>
  <c r="AE379" i="4" s="1"/>
  <c r="AF379" i="4" s="1"/>
  <c r="J379" i="4"/>
  <c r="AB379" i="4" s="1"/>
  <c r="AC379" i="4" s="1"/>
  <c r="I379" i="4"/>
  <c r="Y379" i="4" s="1"/>
  <c r="Z379" i="4" s="1"/>
  <c r="H469" i="4"/>
  <c r="K458" i="4"/>
  <c r="J458" i="4"/>
  <c r="I458" i="4"/>
  <c r="H468" i="4"/>
  <c r="H381" i="4"/>
  <c r="K369" i="4"/>
  <c r="H380" i="4"/>
  <c r="H382" i="4" s="1"/>
  <c r="J369" i="4"/>
  <c r="I369" i="4"/>
  <c r="I354" i="4"/>
  <c r="Y354" i="4" s="1"/>
  <c r="Z354" i="4" s="1"/>
  <c r="K354" i="4"/>
  <c r="AE354" i="4" s="1"/>
  <c r="J354" i="4"/>
  <c r="AB354" i="4" s="1"/>
  <c r="AA333" i="4"/>
  <c r="AA389" i="4"/>
  <c r="Z389" i="4"/>
  <c r="Z459" i="4"/>
  <c r="AA459" i="4"/>
  <c r="I230" i="4"/>
  <c r="Y230" i="4" s="1"/>
  <c r="Z230" i="4" s="1"/>
  <c r="K230" i="4"/>
  <c r="J230" i="4"/>
  <c r="AB230" i="4" s="1"/>
  <c r="Z280" i="4"/>
  <c r="AA280" i="4"/>
  <c r="AA126" i="4"/>
  <c r="Z126" i="4"/>
  <c r="AD623" i="4"/>
  <c r="AC623" i="4"/>
  <c r="I267" i="4"/>
  <c r="Y267" i="4" s="1"/>
  <c r="K267" i="4"/>
  <c r="J267" i="4"/>
  <c r="K133" i="4"/>
  <c r="J133" i="4"/>
  <c r="AB133" i="4" s="1"/>
  <c r="I133" i="4"/>
  <c r="Y133" i="4" s="1"/>
  <c r="Z133" i="4" s="1"/>
  <c r="AE388" i="4"/>
  <c r="AE450" i="4"/>
  <c r="AF450" i="4" s="1"/>
  <c r="AB547" i="4"/>
  <c r="AC547" i="4" s="1"/>
  <c r="Y699" i="4"/>
  <c r="Z699" i="4" s="1"/>
  <c r="AB1368" i="4"/>
  <c r="AC1368" i="4" s="1"/>
  <c r="AB1364" i="4"/>
  <c r="AC1364" i="4" s="1"/>
  <c r="AB829" i="4"/>
  <c r="AE83" i="4"/>
  <c r="Y137" i="4"/>
  <c r="Z137" i="4" s="1"/>
  <c r="AF109" i="4"/>
  <c r="AD125" i="4"/>
  <c r="AD234" i="4"/>
  <c r="H1406" i="4"/>
  <c r="K1404" i="4"/>
  <c r="J1404" i="4"/>
  <c r="J1406" i="4" s="1"/>
  <c r="I1404" i="4"/>
  <c r="H1379" i="4"/>
  <c r="K1363" i="4"/>
  <c r="J1363" i="4"/>
  <c r="I1363" i="4"/>
  <c r="H1378" i="4"/>
  <c r="K690" i="4"/>
  <c r="J690" i="4"/>
  <c r="I690" i="4"/>
  <c r="Y690" i="4" s="1"/>
  <c r="I639" i="4"/>
  <c r="Y639" i="4" s="1"/>
  <c r="K639" i="4"/>
  <c r="J639" i="4"/>
  <c r="AF606" i="4"/>
  <c r="J668" i="4"/>
  <c r="AB668" i="4" s="1"/>
  <c r="AC668" i="4" s="1"/>
  <c r="I668" i="4"/>
  <c r="Y668" i="4" s="1"/>
  <c r="Z668" i="4" s="1"/>
  <c r="K668" i="4"/>
  <c r="AE668" i="4" s="1"/>
  <c r="K542" i="4"/>
  <c r="J542" i="4"/>
  <c r="I542" i="4"/>
  <c r="Y542" i="4" s="1"/>
  <c r="AF609" i="4"/>
  <c r="I575" i="4"/>
  <c r="Y575" i="4" s="1"/>
  <c r="K575" i="4"/>
  <c r="J575" i="4"/>
  <c r="AA540" i="4"/>
  <c r="I393" i="4"/>
  <c r="Y393" i="4" s="1"/>
  <c r="Z393" i="4" s="1"/>
  <c r="K393" i="4"/>
  <c r="J393" i="4"/>
  <c r="AB393" i="4" s="1"/>
  <c r="K305" i="4"/>
  <c r="H310" i="4"/>
  <c r="J305" i="4"/>
  <c r="I305" i="4"/>
  <c r="H309" i="4"/>
  <c r="AA255" i="4"/>
  <c r="Z255" i="4"/>
  <c r="K279" i="4"/>
  <c r="J279" i="4"/>
  <c r="I279" i="4"/>
  <c r="H284" i="4"/>
  <c r="H285" i="4"/>
  <c r="AA229" i="4"/>
  <c r="AE173" i="4"/>
  <c r="AF173" i="4" s="1"/>
  <c r="AF268" i="4"/>
  <c r="K86" i="4"/>
  <c r="J86" i="4"/>
  <c r="I86" i="4"/>
  <c r="Y86" i="4" s="1"/>
  <c r="J1374" i="4"/>
  <c r="K1374" i="4"/>
  <c r="I1374" i="4"/>
  <c r="Y1374" i="4" s="1"/>
  <c r="Z1374" i="4" s="1"/>
  <c r="AA571" i="4"/>
  <c r="Z571" i="4"/>
  <c r="K174" i="4"/>
  <c r="J174" i="4"/>
  <c r="I174" i="4"/>
  <c r="Y174" i="4" s="1"/>
  <c r="AF392" i="4"/>
  <c r="AB351" i="4"/>
  <c r="AC351" i="4" s="1"/>
  <c r="AD676" i="4"/>
  <c r="AE1309" i="4"/>
  <c r="AF1309" i="4" s="1"/>
  <c r="AB89" i="4"/>
  <c r="AC89" i="4" s="1"/>
  <c r="AE104" i="4"/>
  <c r="AB104" i="4"/>
  <c r="AC104" i="4" s="1"/>
  <c r="H138" i="4"/>
  <c r="AB125" i="4"/>
  <c r="AC125" i="4" s="1"/>
  <c r="AB85" i="4"/>
  <c r="AC85" i="4" s="1"/>
  <c r="K627" i="4"/>
  <c r="I627" i="4"/>
  <c r="Y627" i="4" s="1"/>
  <c r="J627" i="4"/>
  <c r="AF612" i="4"/>
  <c r="AF584" i="4"/>
  <c r="AE511" i="4"/>
  <c r="AA526" i="4"/>
  <c r="AA569" i="4"/>
  <c r="J653" i="4"/>
  <c r="I653" i="4"/>
  <c r="Y653" i="4" s="1"/>
  <c r="K653" i="4"/>
  <c r="K353" i="4"/>
  <c r="AE353" i="4" s="1"/>
  <c r="AF353" i="4" s="1"/>
  <c r="I353" i="4"/>
  <c r="Y353" i="4" s="1"/>
  <c r="Z353" i="4" s="1"/>
  <c r="J353" i="4"/>
  <c r="AB353" i="4" s="1"/>
  <c r="AA447" i="4"/>
  <c r="Z378" i="4"/>
  <c r="J335" i="4"/>
  <c r="I335" i="4"/>
  <c r="Y335" i="4" s="1"/>
  <c r="Z335" i="4" s="1"/>
  <c r="K335" i="4"/>
  <c r="I292" i="4"/>
  <c r="K292" i="4"/>
  <c r="J292" i="4"/>
  <c r="H297" i="4"/>
  <c r="H298" i="4" s="1"/>
  <c r="AE169" i="4"/>
  <c r="AF169" i="4" s="1"/>
  <c r="AB252" i="4"/>
  <c r="K92" i="4"/>
  <c r="J92" i="4"/>
  <c r="I92" i="4"/>
  <c r="Y92" i="4" s="1"/>
  <c r="AA702" i="4"/>
  <c r="Z702" i="4"/>
  <c r="Z176" i="4"/>
  <c r="Y176" i="4"/>
  <c r="AD270" i="4"/>
  <c r="AE270" i="4" s="1"/>
  <c r="AC270" i="4"/>
  <c r="I395" i="4"/>
  <c r="Y395" i="4" s="1"/>
  <c r="Z395" i="4" s="1"/>
  <c r="K395" i="4"/>
  <c r="AE395" i="4" s="1"/>
  <c r="AF395" i="4" s="1"/>
  <c r="J395" i="4"/>
  <c r="AB395" i="4" s="1"/>
  <c r="AC395" i="4" s="1"/>
  <c r="AD544" i="4"/>
  <c r="AC544" i="4"/>
  <c r="AB676" i="4"/>
  <c r="AC676" i="4" s="1"/>
  <c r="AF640" i="4"/>
  <c r="AF704" i="4"/>
  <c r="N1311" i="4"/>
  <c r="AD681" i="4"/>
  <c r="AE681" i="4" s="1"/>
  <c r="Y1015" i="4"/>
  <c r="H1159" i="4"/>
  <c r="H1160" i="4"/>
  <c r="Z1048" i="4"/>
  <c r="R1180" i="4"/>
  <c r="R1179" i="4"/>
  <c r="AF1179" i="4" s="1"/>
  <c r="AE1179" i="4" s="1"/>
  <c r="AF1176" i="4"/>
  <c r="X1147" i="4"/>
  <c r="Y1147" i="4" s="1"/>
  <c r="AD868" i="4"/>
  <c r="X833" i="4"/>
  <c r="X878" i="4"/>
  <c r="AA833" i="4"/>
  <c r="AA878" i="4"/>
  <c r="X868" i="4"/>
  <c r="AD826" i="4"/>
  <c r="AD833" i="4"/>
  <c r="X826" i="4"/>
  <c r="AD878" i="4"/>
  <c r="AA868" i="4"/>
  <c r="AA826" i="4"/>
  <c r="X481" i="4"/>
  <c r="Y481" i="4" s="1"/>
  <c r="J868" i="4"/>
  <c r="AC868" i="4" s="1"/>
  <c r="AB868" i="4" s="1"/>
  <c r="I868" i="4"/>
  <c r="Z868" i="4" s="1"/>
  <c r="K868" i="4"/>
  <c r="AF868" i="4" s="1"/>
  <c r="AD1370" i="4"/>
  <c r="AC1370" i="4"/>
  <c r="K1446" i="4"/>
  <c r="K1448" i="4" s="1"/>
  <c r="J1446" i="4"/>
  <c r="J1448" i="4" s="1"/>
  <c r="I1446" i="4"/>
  <c r="I1448" i="4" s="1"/>
  <c r="AA1372" i="4"/>
  <c r="K654" i="4"/>
  <c r="J654" i="4"/>
  <c r="AB654" i="4" s="1"/>
  <c r="I654" i="4"/>
  <c r="Y654" i="4" s="1"/>
  <c r="Z654" i="4" s="1"/>
  <c r="K610" i="4"/>
  <c r="AE610" i="4" s="1"/>
  <c r="AF610" i="4" s="1"/>
  <c r="J610" i="4"/>
  <c r="AB610" i="4" s="1"/>
  <c r="AC610" i="4" s="1"/>
  <c r="I610" i="4"/>
  <c r="Y610" i="4" s="1"/>
  <c r="Z610" i="4" s="1"/>
  <c r="Z592" i="4"/>
  <c r="K570" i="4"/>
  <c r="J570" i="4"/>
  <c r="AB570" i="4" s="1"/>
  <c r="I570" i="4"/>
  <c r="Y570" i="4" s="1"/>
  <c r="Z570" i="4" s="1"/>
  <c r="AA622" i="4"/>
  <c r="Z657" i="4"/>
  <c r="AA657" i="4"/>
  <c r="I603" i="4"/>
  <c r="Y603" i="4" s="1"/>
  <c r="Z603" i="4" s="1"/>
  <c r="K603" i="4"/>
  <c r="AE603" i="4" s="1"/>
  <c r="AF603" i="4" s="1"/>
  <c r="J603" i="4"/>
  <c r="AB603" i="4" s="1"/>
  <c r="AC603" i="4" s="1"/>
  <c r="I587" i="4"/>
  <c r="Y587" i="4" s="1"/>
  <c r="Z587" i="4" s="1"/>
  <c r="K587" i="4"/>
  <c r="AE587" i="4" s="1"/>
  <c r="AF587" i="4" s="1"/>
  <c r="J587" i="4"/>
  <c r="AB587" i="4" s="1"/>
  <c r="AC587" i="4" s="1"/>
  <c r="Z630" i="4"/>
  <c r="AA630" i="4"/>
  <c r="AA464" i="4"/>
  <c r="Z371" i="4"/>
  <c r="H360" i="4"/>
  <c r="J347" i="4"/>
  <c r="H361" i="4"/>
  <c r="H362" i="4" s="1"/>
  <c r="K347" i="4"/>
  <c r="I347" i="4"/>
  <c r="AA266" i="4"/>
  <c r="AA283" i="4"/>
  <c r="Z283" i="4"/>
  <c r="Z349" i="4"/>
  <c r="AA349" i="4"/>
  <c r="AA227" i="4"/>
  <c r="K82" i="4"/>
  <c r="J82" i="4"/>
  <c r="AB82" i="4" s="1"/>
  <c r="I82" i="4"/>
  <c r="Y82" i="4" s="1"/>
  <c r="Z82" i="4" s="1"/>
  <c r="AA235" i="4"/>
  <c r="Z235" i="4"/>
  <c r="AA574" i="4"/>
  <c r="Z574" i="4"/>
  <c r="I558" i="4"/>
  <c r="Y558" i="4" s="1"/>
  <c r="Z558" i="4" s="1"/>
  <c r="K558" i="4"/>
  <c r="AE558" i="4" s="1"/>
  <c r="AF558" i="4" s="1"/>
  <c r="J558" i="4"/>
  <c r="AB558" i="4" s="1"/>
  <c r="AC558" i="4" s="1"/>
  <c r="AD399" i="4"/>
  <c r="Z306" i="4"/>
  <c r="AA248" i="4"/>
  <c r="AA337" i="4"/>
  <c r="AF370" i="4"/>
  <c r="AE374" i="4"/>
  <c r="AF374" i="4" s="1"/>
  <c r="AD449" i="4"/>
  <c r="AB449" i="4"/>
  <c r="AC449" i="4" s="1"/>
  <c r="AB687" i="4"/>
  <c r="AC687" i="4" s="1"/>
  <c r="K193" i="4"/>
  <c r="J193" i="4"/>
  <c r="I193" i="4"/>
  <c r="I194" i="4" s="1"/>
  <c r="AB93" i="4"/>
  <c r="AC93" i="4" s="1"/>
  <c r="AF253" i="4"/>
  <c r="AB282" i="4"/>
  <c r="AC282" i="4" s="1"/>
  <c r="K1424" i="4"/>
  <c r="K1426" i="4" s="1"/>
  <c r="J1424" i="4"/>
  <c r="J1426" i="4" s="1"/>
  <c r="I1424" i="4"/>
  <c r="I1426" i="4" s="1"/>
  <c r="AA1366" i="4"/>
  <c r="Z1366" i="4"/>
  <c r="J701" i="4"/>
  <c r="AB701" i="4" s="1"/>
  <c r="I701" i="4"/>
  <c r="Y701" i="4" s="1"/>
  <c r="Z701" i="4" s="1"/>
  <c r="K701" i="4"/>
  <c r="AF608" i="4"/>
  <c r="AE532" i="4"/>
  <c r="AD514" i="4"/>
  <c r="Z611" i="4"/>
  <c r="Z593" i="4"/>
  <c r="AA510" i="4"/>
  <c r="Z510" i="4"/>
  <c r="AA458" i="4"/>
  <c r="AF354" i="4"/>
  <c r="K257" i="4"/>
  <c r="J257" i="4"/>
  <c r="AB257" i="4" s="1"/>
  <c r="I257" i="4"/>
  <c r="Y257" i="4" s="1"/>
  <c r="Z257" i="4" s="1"/>
  <c r="K281" i="4"/>
  <c r="J281" i="4"/>
  <c r="I281" i="4"/>
  <c r="Y281" i="4" s="1"/>
  <c r="Z281" i="4" s="1"/>
  <c r="J336" i="4"/>
  <c r="AB336" i="4" s="1"/>
  <c r="K336" i="4"/>
  <c r="I336" i="4"/>
  <c r="Y336" i="4" s="1"/>
  <c r="Z336" i="4" s="1"/>
  <c r="AA214" i="4"/>
  <c r="K84" i="4"/>
  <c r="J84" i="4"/>
  <c r="I84" i="4"/>
  <c r="Y84" i="4" s="1"/>
  <c r="Z84" i="4" s="1"/>
  <c r="Y540" i="4"/>
  <c r="Z540" i="4" s="1"/>
  <c r="H550" i="4"/>
  <c r="AA267" i="4"/>
  <c r="Z267" i="4"/>
  <c r="AE296" i="4"/>
  <c r="Y388" i="4"/>
  <c r="Z388" i="4" s="1"/>
  <c r="AE231" i="4"/>
  <c r="AF231" i="4" s="1"/>
  <c r="AF530" i="4"/>
  <c r="AD677" i="4"/>
  <c r="AE677" i="4" s="1"/>
  <c r="AC677" i="4"/>
  <c r="H708" i="4"/>
  <c r="Z1310" i="4"/>
  <c r="AE167" i="4"/>
  <c r="AD106" i="4"/>
  <c r="AC106" i="4"/>
  <c r="Y116" i="4"/>
  <c r="Z116" i="4" s="1"/>
  <c r="I1406" i="4"/>
  <c r="AA1363" i="4"/>
  <c r="AA690" i="4"/>
  <c r="Z690" i="4"/>
  <c r="AA639" i="4"/>
  <c r="Z639" i="4"/>
  <c r="AC606" i="4"/>
  <c r="AF668" i="4"/>
  <c r="AA542" i="4"/>
  <c r="Z542" i="4"/>
  <c r="AC609" i="4"/>
  <c r="AA575" i="4"/>
  <c r="Z575" i="4"/>
  <c r="J667" i="4"/>
  <c r="I667" i="4"/>
  <c r="K667" i="4"/>
  <c r="H669" i="4"/>
  <c r="H670" i="4"/>
  <c r="H671" i="4" s="1"/>
  <c r="J541" i="4"/>
  <c r="AB541" i="4" s="1"/>
  <c r="I541" i="4"/>
  <c r="Y541" i="4" s="1"/>
  <c r="Z541" i="4" s="1"/>
  <c r="K541" i="4"/>
  <c r="H549" i="4"/>
  <c r="H551" i="4" s="1"/>
  <c r="K375" i="4"/>
  <c r="AE375" i="4" s="1"/>
  <c r="AF375" i="4" s="1"/>
  <c r="J375" i="4"/>
  <c r="AB375" i="4" s="1"/>
  <c r="AC375" i="4" s="1"/>
  <c r="I375" i="4"/>
  <c r="Y375" i="4" s="1"/>
  <c r="Z375" i="4" s="1"/>
  <c r="AF348" i="4"/>
  <c r="AA279" i="4"/>
  <c r="I229" i="4"/>
  <c r="Y229" i="4" s="1"/>
  <c r="Z229" i="4" s="1"/>
  <c r="K229" i="4"/>
  <c r="J229" i="4"/>
  <c r="AB229" i="4" s="1"/>
  <c r="AD252" i="4"/>
  <c r="AE252" i="4" s="1"/>
  <c r="AC252" i="4"/>
  <c r="AA86" i="4"/>
  <c r="Z86" i="4"/>
  <c r="J219" i="4"/>
  <c r="AB219" i="4" s="1"/>
  <c r="I219" i="4"/>
  <c r="Y219" i="4" s="1"/>
  <c r="Z219" i="4" s="1"/>
  <c r="K219" i="4"/>
  <c r="AE463" i="4"/>
  <c r="AF573" i="4"/>
  <c r="K658" i="4"/>
  <c r="J658" i="4"/>
  <c r="AB658" i="4" s="1"/>
  <c r="I658" i="4"/>
  <c r="Y658" i="4" s="1"/>
  <c r="Z658" i="4" s="1"/>
  <c r="AA174" i="4"/>
  <c r="Z174" i="4"/>
  <c r="AE295" i="4"/>
  <c r="AF295" i="4" s="1"/>
  <c r="AE462" i="4"/>
  <c r="AF462" i="4" s="1"/>
  <c r="J680" i="4"/>
  <c r="AB680" i="4" s="1"/>
  <c r="AC680" i="4" s="1"/>
  <c r="I680" i="4"/>
  <c r="Y680" i="4" s="1"/>
  <c r="Z680" i="4" s="1"/>
  <c r="K680" i="4"/>
  <c r="AE680" i="4" s="1"/>
  <c r="AF680" i="4" s="1"/>
  <c r="K692" i="4"/>
  <c r="I692" i="4"/>
  <c r="J692" i="4"/>
  <c r="AF705" i="4"/>
  <c r="J109" i="2"/>
  <c r="I110" i="2"/>
  <c r="J110" i="2" s="1"/>
  <c r="AA929" i="4"/>
  <c r="AB929" i="4" s="1"/>
  <c r="J55" i="2"/>
  <c r="E484" i="4"/>
  <c r="I484" i="4" s="1"/>
  <c r="E66" i="4"/>
  <c r="I72" i="2"/>
  <c r="J72" i="2" s="1"/>
  <c r="H117" i="4"/>
  <c r="H119" i="4" s="1"/>
  <c r="H140" i="4"/>
  <c r="AB234" i="4"/>
  <c r="AC234" i="4" s="1"/>
  <c r="AD461" i="4"/>
  <c r="AE461" i="4" s="1"/>
  <c r="AC461" i="4"/>
  <c r="AA627" i="4"/>
  <c r="Z627" i="4"/>
  <c r="AC612" i="4"/>
  <c r="AC584" i="4"/>
  <c r="Z651" i="4"/>
  <c r="AA651" i="4"/>
  <c r="AA467" i="4"/>
  <c r="Z467" i="4"/>
  <c r="I607" i="4"/>
  <c r="Y607" i="4" s="1"/>
  <c r="Z607" i="4" s="1"/>
  <c r="K607" i="4"/>
  <c r="AE607" i="4" s="1"/>
  <c r="AF607" i="4" s="1"/>
  <c r="J607" i="4"/>
  <c r="AB607" i="4" s="1"/>
  <c r="AC607" i="4" s="1"/>
  <c r="I589" i="4"/>
  <c r="Y589" i="4" s="1"/>
  <c r="Z589" i="4" s="1"/>
  <c r="K589" i="4"/>
  <c r="AE589" i="4" s="1"/>
  <c r="AF589" i="4" s="1"/>
  <c r="J589" i="4"/>
  <c r="AB589" i="4" s="1"/>
  <c r="AC589" i="4" s="1"/>
  <c r="AB514" i="4"/>
  <c r="AC514" i="4" s="1"/>
  <c r="Z653" i="4"/>
  <c r="AA653" i="4"/>
  <c r="K373" i="4"/>
  <c r="AE373" i="4" s="1"/>
  <c r="AF373" i="4" s="1"/>
  <c r="J373" i="4"/>
  <c r="AB373" i="4" s="1"/>
  <c r="AC373" i="4" s="1"/>
  <c r="I373" i="4"/>
  <c r="Y373" i="4" s="1"/>
  <c r="Z373" i="4" s="1"/>
  <c r="AF378" i="4"/>
  <c r="AC372" i="4"/>
  <c r="K293" i="4"/>
  <c r="AE293" i="4" s="1"/>
  <c r="AF293" i="4" s="1"/>
  <c r="J293" i="4"/>
  <c r="AB293" i="4" s="1"/>
  <c r="AC293" i="4" s="1"/>
  <c r="I293" i="4"/>
  <c r="Y293" i="4" s="1"/>
  <c r="Z293" i="4" s="1"/>
  <c r="AA335" i="4"/>
  <c r="AD398" i="4"/>
  <c r="Y175" i="4"/>
  <c r="Z175" i="4"/>
  <c r="AA92" i="4"/>
  <c r="Z92" i="4"/>
  <c r="AE513" i="4"/>
  <c r="AF513" i="4" s="1"/>
  <c r="AD460" i="4"/>
  <c r="AE460" i="4" s="1"/>
  <c r="AC460" i="4"/>
  <c r="AD397" i="4"/>
  <c r="F398" i="4"/>
  <c r="H398" i="4" s="1"/>
  <c r="F399" i="4"/>
  <c r="H397" i="4"/>
  <c r="AE448" i="4"/>
  <c r="AF448" i="4" s="1"/>
  <c r="AE676" i="4"/>
  <c r="AD703" i="4"/>
  <c r="AC703" i="4"/>
  <c r="AD655" i="4"/>
  <c r="AC655" i="4"/>
  <c r="AE1160" i="4"/>
  <c r="X681" i="4"/>
  <c r="Y681" i="4" s="1"/>
  <c r="Y951" i="4"/>
  <c r="AB1068" i="4"/>
  <c r="Z997" i="4"/>
  <c r="Z1064" i="4"/>
  <c r="AC1192" i="4"/>
  <c r="M1198" i="4"/>
  <c r="AC1198" i="4" s="1"/>
  <c r="AB1198" i="4" s="1"/>
  <c r="M1199" i="4"/>
  <c r="I878" i="4"/>
  <c r="Z878" i="4" s="1"/>
  <c r="Y878" i="4" s="1"/>
  <c r="K878" i="4"/>
  <c r="AF878" i="4" s="1"/>
  <c r="AE878" i="4" s="1"/>
  <c r="J878" i="4"/>
  <c r="AC878" i="4" s="1"/>
  <c r="AB878" i="4" l="1"/>
  <c r="H209" i="4"/>
  <c r="AB281" i="4"/>
  <c r="AB1374" i="4"/>
  <c r="H261" i="4"/>
  <c r="AB84" i="4"/>
  <c r="AC84" i="4" s="1"/>
  <c r="K1406" i="4"/>
  <c r="M1200" i="4"/>
  <c r="K682" i="4"/>
  <c r="H645" i="4"/>
  <c r="H286" i="4"/>
  <c r="H222" i="4"/>
  <c r="H1161" i="4"/>
  <c r="Z1150" i="4"/>
  <c r="Y1150" i="4" s="1"/>
  <c r="H1152" i="4"/>
  <c r="AC1199" i="4"/>
  <c r="AA1199" i="4"/>
  <c r="J398" i="4"/>
  <c r="AB398" i="4" s="1"/>
  <c r="AC398" i="4" s="1"/>
  <c r="I398" i="4"/>
  <c r="Y398" i="4" s="1"/>
  <c r="Z398" i="4" s="1"/>
  <c r="K398" i="4"/>
  <c r="AE398" i="4" s="1"/>
  <c r="AD92" i="4"/>
  <c r="Z681" i="4"/>
  <c r="AF398" i="4"/>
  <c r="AD653" i="4"/>
  <c r="AE653" i="4" s="1"/>
  <c r="X1192" i="4"/>
  <c r="AA1192" i="4" s="1"/>
  <c r="AD1192" i="4" s="1"/>
  <c r="X1099" i="4"/>
  <c r="AA1099" i="4" s="1"/>
  <c r="AD1099" i="4" s="1"/>
  <c r="X1064" i="4"/>
  <c r="Y1064" i="4" s="1"/>
  <c r="X1176" i="4"/>
  <c r="AA1176" i="4" s="1"/>
  <c r="AD1176" i="4" s="1"/>
  <c r="AA1064" i="4"/>
  <c r="X1157" i="4"/>
  <c r="X1024" i="4"/>
  <c r="Y1024" i="4" s="1"/>
  <c r="X997" i="4"/>
  <c r="Y997" i="4" s="1"/>
  <c r="X1086" i="4"/>
  <c r="Y1086" i="4" s="1"/>
  <c r="X1000" i="4"/>
  <c r="Y1000" i="4" s="1"/>
  <c r="X981" i="4"/>
  <c r="X932" i="4"/>
  <c r="Y932" i="4" s="1"/>
  <c r="X1091" i="4"/>
  <c r="Y1091" i="4" s="1"/>
  <c r="X1040" i="4"/>
  <c r="Y1040" i="4" s="1"/>
  <c r="X1011" i="4"/>
  <c r="X999" i="4"/>
  <c r="Y999" i="4" s="1"/>
  <c r="X1082" i="4"/>
  <c r="Y1082" i="4" s="1"/>
  <c r="X1048" i="4"/>
  <c r="X998" i="4"/>
  <c r="Y998" i="4" s="1"/>
  <c r="X66" i="4"/>
  <c r="Z66" i="4" s="1"/>
  <c r="AA66" i="4"/>
  <c r="AD66" i="4" s="1"/>
  <c r="AE66" i="4" s="1"/>
  <c r="AA692" i="4"/>
  <c r="AB692" i="4" s="1"/>
  <c r="AD86" i="4"/>
  <c r="AD279" i="4"/>
  <c r="AE279" i="4" s="1"/>
  <c r="J669" i="4"/>
  <c r="AB669" i="4" s="1"/>
  <c r="AC669" i="4" s="1"/>
  <c r="I669" i="4"/>
  <c r="Y669" i="4" s="1"/>
  <c r="Z669" i="4" s="1"/>
  <c r="K669" i="4"/>
  <c r="AE669" i="4" s="1"/>
  <c r="AF669" i="4" s="1"/>
  <c r="AB667" i="4"/>
  <c r="AC667" i="4" s="1"/>
  <c r="AD267" i="4"/>
  <c r="AD214" i="4"/>
  <c r="AE214" i="4" s="1"/>
  <c r="AD510" i="4"/>
  <c r="J693" i="4"/>
  <c r="AD248" i="4"/>
  <c r="AD227" i="4"/>
  <c r="AD283" i="4"/>
  <c r="AE347" i="4"/>
  <c r="AF347" i="4" s="1"/>
  <c r="K360" i="4"/>
  <c r="AE360" i="4" s="1"/>
  <c r="AF360" i="4" s="1"/>
  <c r="J360" i="4"/>
  <c r="AB360" i="4" s="1"/>
  <c r="AC360" i="4" s="1"/>
  <c r="I360" i="4"/>
  <c r="Y360" i="4" s="1"/>
  <c r="Z360" i="4" s="1"/>
  <c r="AD630" i="4"/>
  <c r="AE630" i="4" s="1"/>
  <c r="AD657" i="4"/>
  <c r="AE868" i="4"/>
  <c r="R1181" i="4"/>
  <c r="R1182" i="4" s="1"/>
  <c r="Y1048" i="4"/>
  <c r="AE544" i="4"/>
  <c r="AF544" i="4" s="1"/>
  <c r="AE292" i="4"/>
  <c r="AF292" i="4" s="1"/>
  <c r="AB627" i="4"/>
  <c r="Y279" i="4"/>
  <c r="Z279" i="4" s="1"/>
  <c r="AD255" i="4"/>
  <c r="I310" i="4"/>
  <c r="X310" i="4" s="1"/>
  <c r="Z310" i="4" s="1"/>
  <c r="K310" i="4"/>
  <c r="J310" i="4"/>
  <c r="AB639" i="4"/>
  <c r="AB690" i="4"/>
  <c r="AC690" i="4" s="1"/>
  <c r="AB1363" i="4"/>
  <c r="AD459" i="4"/>
  <c r="J380" i="4"/>
  <c r="AB380" i="4" s="1"/>
  <c r="AC380" i="4" s="1"/>
  <c r="I380" i="4"/>
  <c r="Y380" i="4" s="1"/>
  <c r="Z380" i="4" s="1"/>
  <c r="K380" i="4"/>
  <c r="AE380" i="4" s="1"/>
  <c r="AF380" i="4" s="1"/>
  <c r="Y458" i="4"/>
  <c r="Z458" i="4" s="1"/>
  <c r="K469" i="4"/>
  <c r="J469" i="4"/>
  <c r="I469" i="4"/>
  <c r="AB510" i="4"/>
  <c r="AC510" i="4" s="1"/>
  <c r="K595" i="4"/>
  <c r="J595" i="4"/>
  <c r="I595" i="4"/>
  <c r="K594" i="4"/>
  <c r="AE594" i="4" s="1"/>
  <c r="AF594" i="4" s="1"/>
  <c r="J594" i="4"/>
  <c r="AB594" i="4" s="1"/>
  <c r="AC594" i="4" s="1"/>
  <c r="I594" i="4"/>
  <c r="Y594" i="4" s="1"/>
  <c r="Z594" i="4" s="1"/>
  <c r="AE1367" i="4"/>
  <c r="AF1367" i="4" s="1"/>
  <c r="AB337" i="4"/>
  <c r="AB349" i="4"/>
  <c r="K272" i="4"/>
  <c r="J272" i="4"/>
  <c r="I272" i="4"/>
  <c r="I271" i="4"/>
  <c r="Y271" i="4" s="1"/>
  <c r="Z271" i="4" s="1"/>
  <c r="K271" i="4"/>
  <c r="AE271" i="4" s="1"/>
  <c r="AF271" i="4" s="1"/>
  <c r="J271" i="4"/>
  <c r="AB271" i="4" s="1"/>
  <c r="AC271" i="4" s="1"/>
  <c r="X1001" i="4"/>
  <c r="Y1001" i="4" s="1"/>
  <c r="J164" i="2"/>
  <c r="AB826" i="4"/>
  <c r="X1180" i="4"/>
  <c r="Z1180" i="4"/>
  <c r="Y1011" i="4"/>
  <c r="AB702" i="4"/>
  <c r="AC702" i="4" s="1"/>
  <c r="AE232" i="4"/>
  <c r="AF232" i="4" s="1"/>
  <c r="Y446" i="4"/>
  <c r="Z446" i="4" s="1"/>
  <c r="I577" i="4"/>
  <c r="K577" i="4"/>
  <c r="J577" i="4"/>
  <c r="AB526" i="4"/>
  <c r="AD638" i="4"/>
  <c r="AB571" i="4"/>
  <c r="AC571" i="4" s="1"/>
  <c r="AB423" i="4"/>
  <c r="AC423" i="4" s="1"/>
  <c r="AB434" i="4"/>
  <c r="AC434" i="4" s="1"/>
  <c r="AE516" i="4"/>
  <c r="AF516" i="4" s="1"/>
  <c r="AD650" i="4"/>
  <c r="AE87" i="4"/>
  <c r="AF87" i="4" s="1"/>
  <c r="AB126" i="4"/>
  <c r="AB280" i="4"/>
  <c r="AB459" i="4"/>
  <c r="AC459" i="4" s="1"/>
  <c r="AB389" i="4"/>
  <c r="AB333" i="4"/>
  <c r="AC333" i="4" s="1"/>
  <c r="AD545" i="4"/>
  <c r="X1195" i="4"/>
  <c r="AA1195" i="4" s="1"/>
  <c r="AD1195" i="4" s="1"/>
  <c r="AE1195" i="4" s="1"/>
  <c r="X1089" i="4"/>
  <c r="X1070" i="4"/>
  <c r="AA1070" i="4"/>
  <c r="X1071" i="4"/>
  <c r="Y1071" i="4" s="1"/>
  <c r="X1013" i="4"/>
  <c r="X987" i="4"/>
  <c r="Y987" i="4" s="1"/>
  <c r="X1050" i="4"/>
  <c r="X1037" i="4"/>
  <c r="X941" i="4"/>
  <c r="X1049" i="4"/>
  <c r="Y1049" i="4" s="1"/>
  <c r="AA941" i="4"/>
  <c r="AD941" i="4"/>
  <c r="AA1071" i="4"/>
  <c r="Y1013" i="4"/>
  <c r="AF83" i="4"/>
  <c r="I693" i="4"/>
  <c r="AF678" i="4"/>
  <c r="AD116" i="4"/>
  <c r="AB116" i="4"/>
  <c r="AC116" i="4" s="1"/>
  <c r="AD410" i="4"/>
  <c r="AD391" i="4"/>
  <c r="AE391" i="4" s="1"/>
  <c r="Y509" i="4"/>
  <c r="Z509" i="4" s="1"/>
  <c r="Y621" i="4"/>
  <c r="Z621" i="4" s="1"/>
  <c r="AB833" i="4"/>
  <c r="AF1099" i="4"/>
  <c r="AE1099" i="4" s="1"/>
  <c r="K95" i="4"/>
  <c r="AE95" i="4" s="1"/>
  <c r="AF95" i="4" s="1"/>
  <c r="J95" i="4"/>
  <c r="AB95" i="4" s="1"/>
  <c r="AC95" i="4" s="1"/>
  <c r="I95" i="4"/>
  <c r="Y95" i="4" s="1"/>
  <c r="Z95" i="4" s="1"/>
  <c r="H97" i="4"/>
  <c r="Y638" i="4"/>
  <c r="Z638" i="4" s="1"/>
  <c r="AE638" i="4"/>
  <c r="AF91" i="4"/>
  <c r="AD658" i="4"/>
  <c r="AC658" i="4"/>
  <c r="AB168" i="4"/>
  <c r="AC168" i="4" s="1"/>
  <c r="Y165" i="4"/>
  <c r="Z165" i="4" s="1"/>
  <c r="AF511" i="4"/>
  <c r="J659" i="4"/>
  <c r="AB659" i="4" s="1"/>
  <c r="AC659" i="4" s="1"/>
  <c r="I659" i="4"/>
  <c r="Y659" i="4" s="1"/>
  <c r="Z659" i="4" s="1"/>
  <c r="K659" i="4"/>
  <c r="AE659" i="4" s="1"/>
  <c r="AF659" i="4" s="1"/>
  <c r="AF104" i="4"/>
  <c r="AB214" i="4"/>
  <c r="AC214" i="4" s="1"/>
  <c r="AD336" i="4"/>
  <c r="AC336" i="4"/>
  <c r="AE545" i="4"/>
  <c r="AE557" i="4"/>
  <c r="AF557" i="4" s="1"/>
  <c r="AD701" i="4"/>
  <c r="AC701" i="4"/>
  <c r="AF699" i="4"/>
  <c r="AF296" i="4"/>
  <c r="AB410" i="4"/>
  <c r="AC410" i="4" s="1"/>
  <c r="AB227" i="4"/>
  <c r="AC227" i="4" s="1"/>
  <c r="K240" i="4"/>
  <c r="AD240" i="4" s="1"/>
  <c r="AF240" i="4" s="1"/>
  <c r="J240" i="4"/>
  <c r="AA240" i="4" s="1"/>
  <c r="AC240" i="4" s="1"/>
  <c r="I240" i="4"/>
  <c r="X240" i="4" s="1"/>
  <c r="Z240" i="4" s="1"/>
  <c r="AB249" i="4"/>
  <c r="AB391" i="4"/>
  <c r="AC391" i="4" s="1"/>
  <c r="AB622" i="4"/>
  <c r="AD654" i="4"/>
  <c r="AE654" i="4" s="1"/>
  <c r="AC654" i="4"/>
  <c r="AF282" i="4"/>
  <c r="X927" i="4"/>
  <c r="X69" i="4"/>
  <c r="Z69" i="4" s="1"/>
  <c r="AA69" i="4"/>
  <c r="AD69" i="4" s="1"/>
  <c r="AE69" i="4" s="1"/>
  <c r="J147" i="2"/>
  <c r="AB1192" i="4"/>
  <c r="K397" i="4"/>
  <c r="AE397" i="4" s="1"/>
  <c r="AF397" i="4" s="1"/>
  <c r="J397" i="4"/>
  <c r="AB397" i="4" s="1"/>
  <c r="AC397" i="4" s="1"/>
  <c r="I397" i="4"/>
  <c r="AD335" i="4"/>
  <c r="AC627" i="4"/>
  <c r="AD627" i="4"/>
  <c r="I66" i="4"/>
  <c r="M66" i="4"/>
  <c r="X1252" i="4"/>
  <c r="X1240" i="4"/>
  <c r="X1207" i="4"/>
  <c r="X1206" i="4"/>
  <c r="X1265" i="4"/>
  <c r="X1146" i="4"/>
  <c r="X982" i="4"/>
  <c r="AA942" i="4"/>
  <c r="X967" i="4"/>
  <c r="X956" i="4"/>
  <c r="AD942" i="4"/>
  <c r="X930" i="4"/>
  <c r="X942" i="4"/>
  <c r="X692" i="4"/>
  <c r="AD174" i="4"/>
  <c r="AE658" i="4"/>
  <c r="AE667" i="4"/>
  <c r="AF667" i="4" s="1"/>
  <c r="AD690" i="4"/>
  <c r="AE690" i="4" s="1"/>
  <c r="AF677" i="4"/>
  <c r="K550" i="4"/>
  <c r="J550" i="4"/>
  <c r="I550" i="4"/>
  <c r="AD458" i="4"/>
  <c r="AD574" i="4"/>
  <c r="AC349" i="4"/>
  <c r="K361" i="4"/>
  <c r="J361" i="4"/>
  <c r="I361" i="4"/>
  <c r="AE1370" i="4"/>
  <c r="AF1370" i="4" s="1"/>
  <c r="Y868" i="4"/>
  <c r="AE1176" i="4"/>
  <c r="J682" i="4"/>
  <c r="AB92" i="4"/>
  <c r="AC92" i="4" s="1"/>
  <c r="K297" i="4"/>
  <c r="AE297" i="4" s="1"/>
  <c r="AF297" i="4" s="1"/>
  <c r="J297" i="4"/>
  <c r="AB297" i="4" s="1"/>
  <c r="AC297" i="4" s="1"/>
  <c r="I297" i="4"/>
  <c r="Y297" i="4" s="1"/>
  <c r="Z297" i="4" s="1"/>
  <c r="H299" i="4"/>
  <c r="AB335" i="4"/>
  <c r="AC335" i="4" s="1"/>
  <c r="AB653" i="4"/>
  <c r="AC653" i="4" s="1"/>
  <c r="AD571" i="4"/>
  <c r="AE571" i="4" s="1"/>
  <c r="K285" i="4"/>
  <c r="J285" i="4"/>
  <c r="I285" i="4"/>
  <c r="AB279" i="4"/>
  <c r="AC279" i="4" s="1"/>
  <c r="K309" i="4"/>
  <c r="AE309" i="4" s="1"/>
  <c r="AF309" i="4" s="1"/>
  <c r="J309" i="4"/>
  <c r="AB309" i="4" s="1"/>
  <c r="AC309" i="4" s="1"/>
  <c r="I309" i="4"/>
  <c r="Y309" i="4" s="1"/>
  <c r="Z309" i="4" s="1"/>
  <c r="H311" i="4"/>
  <c r="AD540" i="4"/>
  <c r="AB542" i="4"/>
  <c r="AB267" i="4"/>
  <c r="AC267" i="4" s="1"/>
  <c r="AD333" i="4"/>
  <c r="Y369" i="4"/>
  <c r="Z369" i="4" s="1"/>
  <c r="AE369" i="4"/>
  <c r="AF369" i="4" s="1"/>
  <c r="AB458" i="4"/>
  <c r="AC458" i="4" s="1"/>
  <c r="AE510" i="4"/>
  <c r="AE583" i="4"/>
  <c r="AF583" i="4" s="1"/>
  <c r="K596" i="4"/>
  <c r="AE703" i="4"/>
  <c r="AF703" i="4" s="1"/>
  <c r="AE248" i="4"/>
  <c r="AB248" i="4"/>
  <c r="AC248" i="4" s="1"/>
  <c r="AD105" i="4"/>
  <c r="AE105" i="4" s="1"/>
  <c r="AD256" i="4"/>
  <c r="I273" i="4"/>
  <c r="Y266" i="4"/>
  <c r="Z266" i="4" s="1"/>
  <c r="AD531" i="4"/>
  <c r="AE531" i="4" s="1"/>
  <c r="AF236" i="4"/>
  <c r="I1065" i="4"/>
  <c r="J1065" i="4" s="1"/>
  <c r="E1107" i="4"/>
  <c r="G1039" i="4"/>
  <c r="H1039" i="4" s="1"/>
  <c r="Z1039" i="4" s="1"/>
  <c r="G1025" i="4"/>
  <c r="H1025" i="4" s="1"/>
  <c r="G1012" i="4"/>
  <c r="H1012" i="4" s="1"/>
  <c r="Y1176" i="4"/>
  <c r="AB1064" i="4"/>
  <c r="AF388" i="4"/>
  <c r="AD251" i="4"/>
  <c r="AE251" i="4" s="1"/>
  <c r="K576" i="4"/>
  <c r="AE576" i="4" s="1"/>
  <c r="AF576" i="4" s="1"/>
  <c r="J576" i="4"/>
  <c r="AB576" i="4" s="1"/>
  <c r="AC576" i="4" s="1"/>
  <c r="I576" i="4"/>
  <c r="Y576" i="4" s="1"/>
  <c r="Z576" i="4" s="1"/>
  <c r="Y569" i="4"/>
  <c r="Z569" i="4" s="1"/>
  <c r="I533" i="4"/>
  <c r="Y533" i="4" s="1"/>
  <c r="Z533" i="4" s="1"/>
  <c r="K533" i="4"/>
  <c r="AE533" i="4" s="1"/>
  <c r="AF533" i="4" s="1"/>
  <c r="J533" i="4"/>
  <c r="AB533" i="4" s="1"/>
  <c r="AC533" i="4" s="1"/>
  <c r="H535" i="4"/>
  <c r="AE234" i="4"/>
  <c r="AF234" i="4" s="1"/>
  <c r="I118" i="4"/>
  <c r="K118" i="4"/>
  <c r="J118" i="4"/>
  <c r="AD165" i="4"/>
  <c r="AE165" i="4" s="1"/>
  <c r="AE423" i="4"/>
  <c r="AF423" i="4" s="1"/>
  <c r="K427" i="4"/>
  <c r="J427" i="4"/>
  <c r="I427" i="4"/>
  <c r="AB255" i="4"/>
  <c r="AC255" i="4" s="1"/>
  <c r="AD393" i="4"/>
  <c r="AC393" i="4"/>
  <c r="J438" i="4"/>
  <c r="I438" i="4"/>
  <c r="K438" i="4"/>
  <c r="AD543" i="4"/>
  <c r="AC543" i="4"/>
  <c r="AD230" i="4"/>
  <c r="AC230" i="4"/>
  <c r="J338" i="4"/>
  <c r="AB338" i="4" s="1"/>
  <c r="AC338" i="4" s="1"/>
  <c r="K338" i="4"/>
  <c r="AE338" i="4" s="1"/>
  <c r="AF338" i="4" s="1"/>
  <c r="I338" i="4"/>
  <c r="Y338" i="4" s="1"/>
  <c r="Z338" i="4" s="1"/>
  <c r="AE333" i="4"/>
  <c r="AD679" i="4"/>
  <c r="AB652" i="4"/>
  <c r="Z1037" i="4"/>
  <c r="Y1037" i="4" s="1"/>
  <c r="H1041" i="4"/>
  <c r="Z1041" i="4" s="1"/>
  <c r="Y1041" i="4" s="1"/>
  <c r="H1042" i="4"/>
  <c r="H1043" i="4"/>
  <c r="Y1070" i="4"/>
  <c r="Y1089" i="4"/>
  <c r="Y1195" i="4"/>
  <c r="AE89" i="4"/>
  <c r="AF89" i="4" s="1"/>
  <c r="AD414" i="4"/>
  <c r="AB621" i="4"/>
  <c r="Y1146" i="4"/>
  <c r="AE833" i="4"/>
  <c r="Y1192" i="4"/>
  <c r="AA1180" i="4"/>
  <c r="AC1180" i="4"/>
  <c r="AB681" i="4"/>
  <c r="AC681" i="4" s="1"/>
  <c r="J207" i="4"/>
  <c r="AB207" i="4" s="1"/>
  <c r="AC207" i="4" s="1"/>
  <c r="K207" i="4"/>
  <c r="AE207" i="4" s="1"/>
  <c r="AF207" i="4" s="1"/>
  <c r="I207" i="4"/>
  <c r="Y207" i="4" s="1"/>
  <c r="Z207" i="4" s="1"/>
  <c r="Y201" i="4"/>
  <c r="Z201" i="4" s="1"/>
  <c r="Y80" i="4"/>
  <c r="Z80" i="4" s="1"/>
  <c r="AD446" i="4"/>
  <c r="AE446" i="4" s="1"/>
  <c r="AB602" i="4"/>
  <c r="AC602" i="4" s="1"/>
  <c r="AD219" i="4"/>
  <c r="AE219" i="4" s="1"/>
  <c r="AC219" i="4"/>
  <c r="AB334" i="4"/>
  <c r="AB650" i="4"/>
  <c r="AC650" i="4" s="1"/>
  <c r="AF1371" i="4"/>
  <c r="AE547" i="4"/>
  <c r="AF547" i="4" s="1"/>
  <c r="AE233" i="4"/>
  <c r="AF233" i="4" s="1"/>
  <c r="AD84" i="4"/>
  <c r="AD257" i="4"/>
  <c r="AC257" i="4"/>
  <c r="AD394" i="4"/>
  <c r="AC394" i="4"/>
  <c r="AB557" i="4"/>
  <c r="AC557" i="4" s="1"/>
  <c r="I561" i="4"/>
  <c r="Y561" i="4" s="1"/>
  <c r="Z561" i="4" s="1"/>
  <c r="K561" i="4"/>
  <c r="AE561" i="4" s="1"/>
  <c r="AF561" i="4" s="1"/>
  <c r="J561" i="4"/>
  <c r="AB561" i="4" s="1"/>
  <c r="AC561" i="4" s="1"/>
  <c r="AB679" i="4"/>
  <c r="AC679" i="4" s="1"/>
  <c r="K416" i="4"/>
  <c r="J416" i="4"/>
  <c r="I416" i="4"/>
  <c r="AE410" i="4"/>
  <c r="AB250" i="4"/>
  <c r="K239" i="4"/>
  <c r="AE239" i="4" s="1"/>
  <c r="AF239" i="4" s="1"/>
  <c r="J239" i="4"/>
  <c r="AB239" i="4" s="1"/>
  <c r="AC239" i="4" s="1"/>
  <c r="I239" i="4"/>
  <c r="Y239" i="4" s="1"/>
  <c r="Z239" i="4" s="1"/>
  <c r="H241" i="4"/>
  <c r="AB657" i="4"/>
  <c r="AC657" i="4" s="1"/>
  <c r="G1205" i="4"/>
  <c r="H1205" i="4" s="1"/>
  <c r="E1101" i="4"/>
  <c r="G1003" i="4"/>
  <c r="H1003" i="4" s="1"/>
  <c r="Z1003" i="4" s="1"/>
  <c r="G1002" i="4"/>
  <c r="H1002" i="4" s="1"/>
  <c r="H399" i="4"/>
  <c r="F400" i="4"/>
  <c r="H400" i="4" s="1"/>
  <c r="AD467" i="4"/>
  <c r="AE467" i="4" s="1"/>
  <c r="G1206" i="4"/>
  <c r="H1206" i="4" s="1"/>
  <c r="G1265" i="4"/>
  <c r="H1265" i="4" s="1"/>
  <c r="G1252" i="4"/>
  <c r="H1252" i="4" s="1"/>
  <c r="G1240" i="4"/>
  <c r="H1240" i="4" s="1"/>
  <c r="G1207" i="4"/>
  <c r="H1207" i="4" s="1"/>
  <c r="Z1207" i="4" s="1"/>
  <c r="G967" i="4"/>
  <c r="H967" i="4" s="1"/>
  <c r="G930" i="4"/>
  <c r="H930" i="4" s="1"/>
  <c r="Z930" i="4" s="1"/>
  <c r="Y930" i="4" s="1"/>
  <c r="G956" i="4"/>
  <c r="H956" i="4" s="1"/>
  <c r="E942" i="4"/>
  <c r="AD692" i="4"/>
  <c r="AF252" i="4"/>
  <c r="AD575" i="4"/>
  <c r="AD542" i="4"/>
  <c r="AC542" i="4"/>
  <c r="AE84" i="4"/>
  <c r="AE336" i="4"/>
  <c r="AE701" i="4"/>
  <c r="AD1366" i="4"/>
  <c r="AE1366" i="4" s="1"/>
  <c r="X193" i="4"/>
  <c r="AA193" i="4"/>
  <c r="AD193" i="4"/>
  <c r="AE449" i="4"/>
  <c r="AF449" i="4" s="1"/>
  <c r="AD337" i="4"/>
  <c r="AC337" i="4"/>
  <c r="AD266" i="4"/>
  <c r="AE266" i="4" s="1"/>
  <c r="AD622" i="4"/>
  <c r="AC622" i="4"/>
  <c r="AD1372" i="4"/>
  <c r="AF270" i="4"/>
  <c r="AD702" i="4"/>
  <c r="AE702" i="4" s="1"/>
  <c r="AE92" i="4"/>
  <c r="J298" i="4"/>
  <c r="I298" i="4"/>
  <c r="I299" i="4" s="1"/>
  <c r="K298" i="4"/>
  <c r="Y292" i="4"/>
  <c r="Z292" i="4" s="1"/>
  <c r="AD447" i="4"/>
  <c r="AE627" i="4"/>
  <c r="J138" i="4"/>
  <c r="I138" i="4"/>
  <c r="Y138" i="4" s="1"/>
  <c r="Z138" i="4" s="1"/>
  <c r="K138" i="4"/>
  <c r="AE138" i="4" s="1"/>
  <c r="AF138" i="4" s="1"/>
  <c r="AF676" i="4"/>
  <c r="AB174" i="4"/>
  <c r="AC174" i="4" s="1"/>
  <c r="AB86" i="4"/>
  <c r="AC86" i="4" s="1"/>
  <c r="J284" i="4"/>
  <c r="AB284" i="4" s="1"/>
  <c r="AC284" i="4" s="1"/>
  <c r="I284" i="4"/>
  <c r="Y284" i="4" s="1"/>
  <c r="Z284" i="4" s="1"/>
  <c r="K284" i="4"/>
  <c r="AE284" i="4" s="1"/>
  <c r="AF284" i="4" s="1"/>
  <c r="I311" i="4"/>
  <c r="Y305" i="4"/>
  <c r="Z305" i="4" s="1"/>
  <c r="AE305" i="4"/>
  <c r="AF305" i="4" s="1"/>
  <c r="K311" i="4"/>
  <c r="AE542" i="4"/>
  <c r="I1378" i="4"/>
  <c r="Y1378" i="4" s="1"/>
  <c r="Z1378" i="4" s="1"/>
  <c r="K1378" i="4"/>
  <c r="AE1378" i="4" s="1"/>
  <c r="AF1378" i="4" s="1"/>
  <c r="J1378" i="4"/>
  <c r="AB1378" i="4" s="1"/>
  <c r="AC1378" i="4" s="1"/>
  <c r="J1379" i="4"/>
  <c r="AA1379" i="4" s="1"/>
  <c r="AC1379" i="4" s="1"/>
  <c r="K1379" i="4"/>
  <c r="AD1379" i="4" s="1"/>
  <c r="AF1379" i="4" s="1"/>
  <c r="I1379" i="4"/>
  <c r="X1379" i="4" s="1"/>
  <c r="Z1379" i="4" s="1"/>
  <c r="AE267" i="4"/>
  <c r="AD126" i="4"/>
  <c r="AC126" i="4"/>
  <c r="AE230" i="4"/>
  <c r="I381" i="4"/>
  <c r="X381" i="4" s="1"/>
  <c r="Z381" i="4" s="1"/>
  <c r="K381" i="4"/>
  <c r="AD381" i="4" s="1"/>
  <c r="AF381" i="4" s="1"/>
  <c r="J381" i="4"/>
  <c r="AA381" i="4" s="1"/>
  <c r="AC381" i="4" s="1"/>
  <c r="AE458" i="4"/>
  <c r="H596" i="4"/>
  <c r="AF167" i="4"/>
  <c r="K260" i="4"/>
  <c r="AD260" i="4" s="1"/>
  <c r="AF260" i="4" s="1"/>
  <c r="J260" i="4"/>
  <c r="AA260" i="4" s="1"/>
  <c r="AC260" i="4" s="1"/>
  <c r="I260" i="4"/>
  <c r="X260" i="4" s="1"/>
  <c r="Z260" i="4" s="1"/>
  <c r="K259" i="4"/>
  <c r="AE259" i="4" s="1"/>
  <c r="AF259" i="4" s="1"/>
  <c r="J259" i="4"/>
  <c r="AB259" i="4" s="1"/>
  <c r="AC259" i="4" s="1"/>
  <c r="I259" i="4"/>
  <c r="Y259" i="4" s="1"/>
  <c r="Z259" i="4" s="1"/>
  <c r="AB283" i="4"/>
  <c r="AC283" i="4" s="1"/>
  <c r="H273" i="4"/>
  <c r="AE826" i="4"/>
  <c r="AD1199" i="4"/>
  <c r="AF1199" i="4"/>
  <c r="AE623" i="4"/>
  <c r="AF623" i="4" s="1"/>
  <c r="AB446" i="4"/>
  <c r="AC446" i="4" s="1"/>
  <c r="AB569" i="4"/>
  <c r="J578" i="4"/>
  <c r="H578" i="4"/>
  <c r="H579" i="4" s="1"/>
  <c r="K534" i="4"/>
  <c r="J534" i="4"/>
  <c r="I534" i="4"/>
  <c r="I535" i="4" s="1"/>
  <c r="I139" i="4"/>
  <c r="X139" i="4" s="1"/>
  <c r="Z139" i="4" s="1"/>
  <c r="K139" i="4"/>
  <c r="J139" i="4"/>
  <c r="AA139" i="4" s="1"/>
  <c r="AC139" i="4" s="1"/>
  <c r="Y423" i="4"/>
  <c r="Z423" i="4" s="1"/>
  <c r="AE255" i="4"/>
  <c r="K437" i="4"/>
  <c r="AE437" i="4" s="1"/>
  <c r="AF437" i="4" s="1"/>
  <c r="J437" i="4"/>
  <c r="AB437" i="4" s="1"/>
  <c r="AC437" i="4" s="1"/>
  <c r="I437" i="4"/>
  <c r="Y437" i="4" s="1"/>
  <c r="Z437" i="4" s="1"/>
  <c r="AE434" i="4"/>
  <c r="AF434" i="4" s="1"/>
  <c r="AF1365" i="4"/>
  <c r="AB540" i="4"/>
  <c r="AC540" i="4" s="1"/>
  <c r="AE459" i="4"/>
  <c r="J339" i="4"/>
  <c r="K339" i="4"/>
  <c r="I339" i="4"/>
  <c r="H340" i="4"/>
  <c r="Y1050" i="4"/>
  <c r="AB1071" i="4"/>
  <c r="AB1070" i="4"/>
  <c r="J194" i="4"/>
  <c r="AD250" i="4"/>
  <c r="AC250" i="4"/>
  <c r="AB105" i="4"/>
  <c r="AC105" i="4" s="1"/>
  <c r="AB256" i="4"/>
  <c r="AC256" i="4" s="1"/>
  <c r="AD249" i="4"/>
  <c r="AC249" i="4"/>
  <c r="AB531" i="4"/>
  <c r="AC531" i="4" s="1"/>
  <c r="AB509" i="4"/>
  <c r="J632" i="4"/>
  <c r="I632" i="4"/>
  <c r="K632" i="4"/>
  <c r="H1199" i="4"/>
  <c r="Z1099" i="4"/>
  <c r="Y1099" i="4" s="1"/>
  <c r="AB1176" i="4"/>
  <c r="Y981" i="4"/>
  <c r="J208" i="4"/>
  <c r="J209" i="4" s="1"/>
  <c r="K208" i="4"/>
  <c r="I208" i="4"/>
  <c r="I209" i="4" s="1"/>
  <c r="AB201" i="4"/>
  <c r="AC201" i="4" s="1"/>
  <c r="AB80" i="4"/>
  <c r="AB251" i="4"/>
  <c r="AC251" i="4" s="1"/>
  <c r="AE514" i="4"/>
  <c r="AF514" i="4" s="1"/>
  <c r="AB467" i="4"/>
  <c r="AC467" i="4" s="1"/>
  <c r="AB651" i="4"/>
  <c r="Y602" i="4"/>
  <c r="Z602" i="4" s="1"/>
  <c r="K614" i="4"/>
  <c r="J614" i="4"/>
  <c r="I614" i="4"/>
  <c r="K644" i="4"/>
  <c r="J644" i="4"/>
  <c r="I644" i="4"/>
  <c r="I1166" i="4"/>
  <c r="K1166" i="4"/>
  <c r="J1166" i="4"/>
  <c r="AF390" i="4"/>
  <c r="AF532" i="4"/>
  <c r="K660" i="4"/>
  <c r="J660" i="4"/>
  <c r="J661" i="4" s="1"/>
  <c r="I660" i="4"/>
  <c r="I661" i="4" s="1"/>
  <c r="H661" i="4"/>
  <c r="AF85" i="4"/>
  <c r="AE1364" i="4"/>
  <c r="AF1364" i="4" s="1"/>
  <c r="J221" i="4"/>
  <c r="I221" i="4"/>
  <c r="X221" i="4" s="1"/>
  <c r="K221" i="4"/>
  <c r="AB545" i="4"/>
  <c r="AC545" i="4" s="1"/>
  <c r="Y557" i="4"/>
  <c r="Z557" i="4" s="1"/>
  <c r="K562" i="4"/>
  <c r="I562" i="4"/>
  <c r="J562" i="4"/>
  <c r="AB1366" i="4"/>
  <c r="AC1366" i="4" s="1"/>
  <c r="J90" i="2"/>
  <c r="I91" i="2"/>
  <c r="J91" i="2" s="1"/>
  <c r="K693" i="4"/>
  <c r="AD112" i="4"/>
  <c r="AE112" i="4" s="1"/>
  <c r="AC112" i="4"/>
  <c r="K415" i="4"/>
  <c r="AE415" i="4" s="1"/>
  <c r="AF415" i="4" s="1"/>
  <c r="J415" i="4"/>
  <c r="AB415" i="4" s="1"/>
  <c r="AC415" i="4" s="1"/>
  <c r="I415" i="4"/>
  <c r="Y415" i="4" s="1"/>
  <c r="Z415" i="4" s="1"/>
  <c r="H417" i="4"/>
  <c r="AE227" i="4"/>
  <c r="AB414" i="4"/>
  <c r="AC414" i="4" s="1"/>
  <c r="AE622" i="4"/>
  <c r="AD570" i="4"/>
  <c r="AC570" i="4"/>
  <c r="AE1372" i="4"/>
  <c r="AF93" i="4"/>
  <c r="H933" i="4"/>
  <c r="Z927" i="4"/>
  <c r="Y927" i="4" s="1"/>
  <c r="AE655" i="4"/>
  <c r="AF655" i="4" s="1"/>
  <c r="AF460" i="4"/>
  <c r="AD651" i="4"/>
  <c r="AC651" i="4"/>
  <c r="AF461" i="4"/>
  <c r="J117" i="4"/>
  <c r="I117" i="4"/>
  <c r="Y117" i="4" s="1"/>
  <c r="Z117" i="4" s="1"/>
  <c r="K117" i="4"/>
  <c r="X1166" i="4"/>
  <c r="AA1166" i="4" s="1"/>
  <c r="AD1166" i="4" s="1"/>
  <c r="X969" i="4"/>
  <c r="Y969" i="4" s="1"/>
  <c r="X958" i="4"/>
  <c r="Y958" i="4" s="1"/>
  <c r="AD877" i="4"/>
  <c r="X877" i="4"/>
  <c r="X929" i="4"/>
  <c r="Y929" i="4" s="1"/>
  <c r="AA877" i="4"/>
  <c r="J549" i="4"/>
  <c r="AB549" i="4" s="1"/>
  <c r="AC549" i="4" s="1"/>
  <c r="I549" i="4"/>
  <c r="K549" i="4"/>
  <c r="AE549" i="4" s="1"/>
  <c r="AF549" i="4" s="1"/>
  <c r="J670" i="4"/>
  <c r="I670" i="4"/>
  <c r="K670" i="4"/>
  <c r="Y667" i="4"/>
  <c r="Z667" i="4" s="1"/>
  <c r="AC639" i="4"/>
  <c r="AD639" i="4"/>
  <c r="AC1363" i="4"/>
  <c r="AD1363" i="4"/>
  <c r="AE1363" i="4" s="1"/>
  <c r="AB193" i="4"/>
  <c r="AD235" i="4"/>
  <c r="AE235" i="4" s="1"/>
  <c r="I362" i="4"/>
  <c r="Y347" i="4"/>
  <c r="Z347" i="4" s="1"/>
  <c r="AB347" i="4"/>
  <c r="AC347" i="4" s="1"/>
  <c r="AD464" i="4"/>
  <c r="Z481" i="4"/>
  <c r="AF1180" i="4"/>
  <c r="AD1180" i="4"/>
  <c r="Z1160" i="4"/>
  <c r="X1160" i="4"/>
  <c r="AF681" i="4"/>
  <c r="AB292" i="4"/>
  <c r="AC292" i="4" s="1"/>
  <c r="J299" i="4"/>
  <c r="AE335" i="4"/>
  <c r="AC569" i="4"/>
  <c r="AD569" i="4"/>
  <c r="AD526" i="4"/>
  <c r="AE526" i="4" s="1"/>
  <c r="AC526" i="4"/>
  <c r="AE106" i="4"/>
  <c r="AF106" i="4" s="1"/>
  <c r="AE174" i="4"/>
  <c r="AE86" i="4"/>
  <c r="AD229" i="4"/>
  <c r="AC229" i="4"/>
  <c r="AB305" i="4"/>
  <c r="AC305" i="4" s="1"/>
  <c r="AB575" i="4"/>
  <c r="AC575" i="4" s="1"/>
  <c r="Y1363" i="4"/>
  <c r="Z1363" i="4" s="1"/>
  <c r="I1380" i="4"/>
  <c r="H1380" i="4"/>
  <c r="AD280" i="4"/>
  <c r="AC280" i="4"/>
  <c r="AD389" i="4"/>
  <c r="AC389" i="4"/>
  <c r="AB369" i="4"/>
  <c r="AC369" i="4" s="1"/>
  <c r="J382" i="4"/>
  <c r="I468" i="4"/>
  <c r="Y468" i="4" s="1"/>
  <c r="Z468" i="4" s="1"/>
  <c r="J468" i="4"/>
  <c r="AB468" i="4" s="1"/>
  <c r="AC468" i="4" s="1"/>
  <c r="K468" i="4"/>
  <c r="AE468" i="4" s="1"/>
  <c r="AF468" i="4" s="1"/>
  <c r="H470" i="4"/>
  <c r="J596" i="4"/>
  <c r="AB583" i="4"/>
  <c r="AC583" i="4" s="1"/>
  <c r="Y583" i="4"/>
  <c r="Z583" i="4" s="1"/>
  <c r="I596" i="4"/>
  <c r="AD652" i="4"/>
  <c r="AE652" i="4" s="1"/>
  <c r="AC652" i="4"/>
  <c r="AE1368" i="4"/>
  <c r="AF1368" i="4" s="1"/>
  <c r="AC1310" i="4"/>
  <c r="AE337" i="4"/>
  <c r="I261" i="4"/>
  <c r="Y248" i="4"/>
  <c r="Z248" i="4" s="1"/>
  <c r="AB574" i="4"/>
  <c r="AC574" i="4" s="1"/>
  <c r="AB235" i="4"/>
  <c r="AC235" i="4" s="1"/>
  <c r="AE283" i="4"/>
  <c r="J273" i="4"/>
  <c r="AB266" i="4"/>
  <c r="AC266" i="4" s="1"/>
  <c r="AB464" i="4"/>
  <c r="AC464" i="4" s="1"/>
  <c r="AB630" i="4"/>
  <c r="AC630" i="4" s="1"/>
  <c r="AD509" i="4"/>
  <c r="AC509" i="4"/>
  <c r="AD621" i="4"/>
  <c r="AC621" i="4"/>
  <c r="AF81" i="4"/>
  <c r="AE192" i="4"/>
  <c r="AF192" i="4" s="1"/>
  <c r="K194" i="4"/>
  <c r="Y826" i="4"/>
  <c r="AE1192" i="4"/>
  <c r="H1181" i="4"/>
  <c r="I682" i="4"/>
  <c r="AD80" i="4"/>
  <c r="AE80" i="4" s="1"/>
  <c r="AC80" i="4"/>
  <c r="AB447" i="4"/>
  <c r="AC447" i="4" s="1"/>
  <c r="K452" i="4"/>
  <c r="J452" i="4"/>
  <c r="I452" i="4"/>
  <c r="I451" i="4"/>
  <c r="Y451" i="4" s="1"/>
  <c r="Z451" i="4" s="1"/>
  <c r="K451" i="4"/>
  <c r="AE451" i="4" s="1"/>
  <c r="AF451" i="4" s="1"/>
  <c r="J451" i="4"/>
  <c r="AB451" i="4" s="1"/>
  <c r="AC451" i="4" s="1"/>
  <c r="K578" i="4"/>
  <c r="AE569" i="4"/>
  <c r="Y526" i="4"/>
  <c r="Z526" i="4" s="1"/>
  <c r="AE125" i="4"/>
  <c r="AF125" i="4" s="1"/>
  <c r="AF1310" i="4"/>
  <c r="AD1374" i="4"/>
  <c r="AC1374" i="4"/>
  <c r="AD168" i="4"/>
  <c r="AE168" i="4" s="1"/>
  <c r="AC334" i="4"/>
  <c r="AD334" i="4"/>
  <c r="I426" i="4"/>
  <c r="Y426" i="4" s="1"/>
  <c r="Z426" i="4" s="1"/>
  <c r="K426" i="4"/>
  <c r="AE426" i="4" s="1"/>
  <c r="AF426" i="4" s="1"/>
  <c r="J426" i="4"/>
  <c r="AB426" i="4" s="1"/>
  <c r="AC426" i="4" s="1"/>
  <c r="I439" i="4"/>
  <c r="Y434" i="4"/>
  <c r="Z434" i="4" s="1"/>
  <c r="H439" i="4"/>
  <c r="AF512" i="4"/>
  <c r="J707" i="4"/>
  <c r="I707" i="4"/>
  <c r="K707" i="4"/>
  <c r="K708" i="4" s="1"/>
  <c r="AD137" i="4"/>
  <c r="AB137" i="4"/>
  <c r="AC137" i="4" s="1"/>
  <c r="AE110" i="4"/>
  <c r="AF110" i="4" s="1"/>
  <c r="I340" i="4"/>
  <c r="Y333" i="4"/>
  <c r="Z333" i="4" s="1"/>
  <c r="AD529" i="4"/>
  <c r="K941" i="4"/>
  <c r="AF941" i="4" s="1"/>
  <c r="AE941" i="4" s="1"/>
  <c r="J941" i="4"/>
  <c r="AC941" i="4" s="1"/>
  <c r="AB941" i="4" s="1"/>
  <c r="I941" i="4"/>
  <c r="Z941" i="4" s="1"/>
  <c r="Y941" i="4" s="1"/>
  <c r="AE256" i="4"/>
  <c r="K519" i="4"/>
  <c r="J519" i="4"/>
  <c r="I519" i="4"/>
  <c r="I518" i="4"/>
  <c r="Y518" i="4" s="1"/>
  <c r="Z518" i="4" s="1"/>
  <c r="K518" i="4"/>
  <c r="AE518" i="4" s="1"/>
  <c r="AF518" i="4" s="1"/>
  <c r="J518" i="4"/>
  <c r="AB518" i="4" s="1"/>
  <c r="AC518" i="4" s="1"/>
  <c r="K631" i="4"/>
  <c r="AE631" i="4" s="1"/>
  <c r="AF631" i="4" s="1"/>
  <c r="J631" i="4"/>
  <c r="AB631" i="4" s="1"/>
  <c r="AC631" i="4" s="1"/>
  <c r="I631" i="4"/>
  <c r="Y631" i="4" s="1"/>
  <c r="Z631" i="4" s="1"/>
  <c r="AE621" i="4"/>
  <c r="K633" i="4"/>
  <c r="X1151" i="4"/>
  <c r="Z1151" i="4"/>
  <c r="Y833" i="4"/>
  <c r="H1198" i="4"/>
  <c r="Z1198" i="4" s="1"/>
  <c r="Y1198" i="4" s="1"/>
  <c r="AC1099" i="4"/>
  <c r="AB1099" i="4" s="1"/>
  <c r="M1181" i="4"/>
  <c r="M1182" i="4" s="1"/>
  <c r="AF1369" i="4"/>
  <c r="AE201" i="4"/>
  <c r="AF201" i="4" s="1"/>
  <c r="K209" i="4"/>
  <c r="I96" i="4"/>
  <c r="K96" i="4"/>
  <c r="J96" i="4"/>
  <c r="AD228" i="4"/>
  <c r="AC228" i="4"/>
  <c r="AC353" i="4"/>
  <c r="J613" i="4"/>
  <c r="AB613" i="4" s="1"/>
  <c r="AC613" i="4" s="1"/>
  <c r="I613" i="4"/>
  <c r="Y613" i="4" s="1"/>
  <c r="Z613" i="4" s="1"/>
  <c r="K613" i="4"/>
  <c r="AE613" i="4" s="1"/>
  <c r="AF613" i="4" s="1"/>
  <c r="AE602" i="4"/>
  <c r="AF602" i="4" s="1"/>
  <c r="I643" i="4"/>
  <c r="Y643" i="4" s="1"/>
  <c r="Z643" i="4" s="1"/>
  <c r="K643" i="4"/>
  <c r="AE643" i="4" s="1"/>
  <c r="AF643" i="4" s="1"/>
  <c r="J643" i="4"/>
  <c r="AB643" i="4" s="1"/>
  <c r="AC643" i="4" s="1"/>
  <c r="AB638" i="4"/>
  <c r="AC638" i="4" s="1"/>
  <c r="J877" i="4"/>
  <c r="AC877" i="4" s="1"/>
  <c r="AB877" i="4" s="1"/>
  <c r="I877" i="4"/>
  <c r="Z877" i="4" s="1"/>
  <c r="Y877" i="4" s="1"/>
  <c r="K877" i="4"/>
  <c r="AF877" i="4" s="1"/>
  <c r="AE877" i="4" s="1"/>
  <c r="AB165" i="4"/>
  <c r="AC165" i="4" s="1"/>
  <c r="AB348" i="4"/>
  <c r="AC348" i="4" s="1"/>
  <c r="AD541" i="4"/>
  <c r="AE541" i="4" s="1"/>
  <c r="AC541" i="4"/>
  <c r="AD515" i="4"/>
  <c r="AE515" i="4" s="1"/>
  <c r="AC515" i="4"/>
  <c r="Y650" i="4"/>
  <c r="Z650" i="4" s="1"/>
  <c r="K661" i="4"/>
  <c r="AE650" i="4"/>
  <c r="J708" i="4"/>
  <c r="AD133" i="4"/>
  <c r="AE133" i="4" s="1"/>
  <c r="AC133" i="4"/>
  <c r="AF463" i="4"/>
  <c r="J220" i="4"/>
  <c r="AB220" i="4" s="1"/>
  <c r="AC220" i="4" s="1"/>
  <c r="K220" i="4"/>
  <c r="AE220" i="4" s="1"/>
  <c r="AF220" i="4" s="1"/>
  <c r="I220" i="4"/>
  <c r="Y220" i="4" s="1"/>
  <c r="Z220" i="4" s="1"/>
  <c r="Y214" i="4"/>
  <c r="Z214" i="4" s="1"/>
  <c r="AD281" i="4"/>
  <c r="AE281" i="4" s="1"/>
  <c r="AC281" i="4"/>
  <c r="AC354" i="4"/>
  <c r="AB529" i="4"/>
  <c r="AC529" i="4" s="1"/>
  <c r="H563" i="4"/>
  <c r="AE679" i="4"/>
  <c r="AE465" i="4"/>
  <c r="AF465" i="4" s="1"/>
  <c r="Y410" i="4"/>
  <c r="Z410" i="4" s="1"/>
  <c r="I417" i="4"/>
  <c r="AE250" i="4"/>
  <c r="AD82" i="4"/>
  <c r="AE82" i="4" s="1"/>
  <c r="AC82" i="4"/>
  <c r="Y227" i="4"/>
  <c r="Z227" i="4" s="1"/>
  <c r="I241" i="4"/>
  <c r="AE414" i="4"/>
  <c r="AE657" i="4"/>
  <c r="AB1372" i="4"/>
  <c r="AC1372" i="4" s="1"/>
  <c r="M69" i="4"/>
  <c r="AC69" i="4" s="1"/>
  <c r="AB69" i="4" s="1"/>
  <c r="I69" i="4"/>
  <c r="AE127" i="4"/>
  <c r="AF127" i="4" s="1"/>
  <c r="J362" i="4" l="1"/>
  <c r="K241" i="4"/>
  <c r="K273" i="4"/>
  <c r="Y1180" i="4"/>
  <c r="J97" i="4"/>
  <c r="J311" i="4"/>
  <c r="K439" i="4"/>
  <c r="Y1207" i="4"/>
  <c r="K535" i="4"/>
  <c r="AB1195" i="4"/>
  <c r="H402" i="4"/>
  <c r="H401" i="4"/>
  <c r="H403" i="4" s="1"/>
  <c r="Y1160" i="4"/>
  <c r="K402" i="4"/>
  <c r="J402" i="4"/>
  <c r="I402" i="4"/>
  <c r="AE137" i="4"/>
  <c r="AF137" i="4" s="1"/>
  <c r="X452" i="4"/>
  <c r="Y452" i="4" s="1"/>
  <c r="AF569" i="4"/>
  <c r="AD670" i="4"/>
  <c r="AE670" i="4" s="1"/>
  <c r="Y549" i="4"/>
  <c r="Z549" i="4" s="1"/>
  <c r="I551" i="4"/>
  <c r="X1085" i="4"/>
  <c r="X1080" i="4"/>
  <c r="X1066" i="4"/>
  <c r="AA1066" i="4"/>
  <c r="AA1067" i="4"/>
  <c r="X1051" i="4"/>
  <c r="X1067" i="4"/>
  <c r="X1016" i="4"/>
  <c r="X968" i="4"/>
  <c r="AA944" i="4"/>
  <c r="AA866" i="4"/>
  <c r="AD944" i="4"/>
  <c r="AD866" i="4"/>
  <c r="X1014" i="4"/>
  <c r="X944" i="4"/>
  <c r="X831" i="4"/>
  <c r="AA831" i="4"/>
  <c r="X824" i="4"/>
  <c r="AD831" i="4"/>
  <c r="AA824" i="4"/>
  <c r="X866" i="4"/>
  <c r="AD824" i="4"/>
  <c r="X484" i="4"/>
  <c r="X483" i="4"/>
  <c r="G166" i="4"/>
  <c r="X562" i="4"/>
  <c r="Y562" i="4" s="1"/>
  <c r="X660" i="4"/>
  <c r="AE334" i="4"/>
  <c r="AF334" i="4" s="1"/>
  <c r="I1171" i="4"/>
  <c r="I1170" i="4"/>
  <c r="Z1170" i="4" s="1"/>
  <c r="Y1170" i="4" s="1"/>
  <c r="Z1166" i="4"/>
  <c r="Y1166" i="4" s="1"/>
  <c r="X614" i="4"/>
  <c r="I615" i="4"/>
  <c r="AA632" i="4"/>
  <c r="AB632" i="4" s="1"/>
  <c r="X339" i="4"/>
  <c r="Y339" i="4"/>
  <c r="AB138" i="4"/>
  <c r="AC138" i="4" s="1"/>
  <c r="J140" i="4"/>
  <c r="AF542" i="4"/>
  <c r="H1260" i="4"/>
  <c r="H1259" i="4"/>
  <c r="Z1259" i="4" s="1"/>
  <c r="Y1259" i="4" s="1"/>
  <c r="Z1252" i="4"/>
  <c r="Y1252" i="4" s="1"/>
  <c r="Z1002" i="4"/>
  <c r="H1004" i="4"/>
  <c r="Z1004" i="4" s="1"/>
  <c r="Y1004" i="4" s="1"/>
  <c r="H1005" i="4"/>
  <c r="AD416" i="4"/>
  <c r="K222" i="4"/>
  <c r="J633" i="4"/>
  <c r="AE126" i="4"/>
  <c r="AF126" i="4" s="1"/>
  <c r="X118" i="4"/>
  <c r="AF251" i="4"/>
  <c r="AF256" i="4"/>
  <c r="AF571" i="4"/>
  <c r="AA361" i="4"/>
  <c r="AB361" i="4"/>
  <c r="X550" i="4"/>
  <c r="Y550" i="4" s="1"/>
  <c r="AF690" i="4"/>
  <c r="AF627" i="4"/>
  <c r="Y397" i="4"/>
  <c r="Z397" i="4" s="1"/>
  <c r="J417" i="4"/>
  <c r="AE529" i="4"/>
  <c r="AF529" i="4" s="1"/>
  <c r="H1200" i="4"/>
  <c r="K520" i="4"/>
  <c r="AF545" i="4"/>
  <c r="AD595" i="4"/>
  <c r="AE595" i="4" s="1"/>
  <c r="AD310" i="4"/>
  <c r="AE310" i="4" s="1"/>
  <c r="K299" i="4"/>
  <c r="AF283" i="4"/>
  <c r="AA1157" i="4"/>
  <c r="Y1157" i="4"/>
  <c r="AF515" i="4"/>
  <c r="X96" i="4"/>
  <c r="X519" i="4"/>
  <c r="Y519" i="4" s="1"/>
  <c r="AA452" i="4"/>
  <c r="AB452" i="4" s="1"/>
  <c r="AF80" i="4"/>
  <c r="X670" i="4"/>
  <c r="Y670" i="4" s="1"/>
  <c r="AE117" i="4"/>
  <c r="AF117" i="4" s="1"/>
  <c r="K119" i="4"/>
  <c r="I1067" i="4"/>
  <c r="J1067" i="4" s="1"/>
  <c r="Z1067" i="4" s="1"/>
  <c r="Y1067" i="4" s="1"/>
  <c r="G1066" i="4"/>
  <c r="H1066" i="4" s="1"/>
  <c r="G1085" i="4"/>
  <c r="H1085" i="4" s="1"/>
  <c r="Z1085" i="4" s="1"/>
  <c r="G1014" i="4"/>
  <c r="H1014" i="4" s="1"/>
  <c r="Z1014" i="4" s="1"/>
  <c r="Y1014" i="4" s="1"/>
  <c r="G1080" i="4"/>
  <c r="H1080" i="4" s="1"/>
  <c r="G1051" i="4"/>
  <c r="H1051" i="4" s="1"/>
  <c r="G982" i="4"/>
  <c r="H982" i="4" s="1"/>
  <c r="E939" i="4"/>
  <c r="E831" i="4"/>
  <c r="E866" i="4"/>
  <c r="E824" i="4"/>
  <c r="G1067" i="4"/>
  <c r="H1067" i="4" s="1"/>
  <c r="AC1067" i="4" s="1"/>
  <c r="AB1067" i="4" s="1"/>
  <c r="G1016" i="4"/>
  <c r="H1016" i="4" s="1"/>
  <c r="Z1016" i="4" s="1"/>
  <c r="E944" i="4"/>
  <c r="I1066" i="4"/>
  <c r="J1066" i="4" s="1"/>
  <c r="Z1066" i="4" s="1"/>
  <c r="Y1066" i="4" s="1"/>
  <c r="G968" i="4"/>
  <c r="H968" i="4" s="1"/>
  <c r="Z968" i="4" s="1"/>
  <c r="E483" i="4"/>
  <c r="I483" i="4" s="1"/>
  <c r="K90" i="2"/>
  <c r="AA660" i="4"/>
  <c r="AB660" i="4" s="1"/>
  <c r="X644" i="4"/>
  <c r="AA614" i="4"/>
  <c r="X208" i="4"/>
  <c r="AD208" i="4"/>
  <c r="AE208" i="4" s="1"/>
  <c r="AA208" i="4"/>
  <c r="AB208" i="4" s="1"/>
  <c r="Z1199" i="4"/>
  <c r="X1199" i="4"/>
  <c r="AF250" i="4"/>
  <c r="AD339" i="4"/>
  <c r="AE339" i="4"/>
  <c r="AE280" i="4"/>
  <c r="AF280" i="4" s="1"/>
  <c r="J453" i="4"/>
  <c r="K551" i="4"/>
  <c r="AF622" i="4"/>
  <c r="Y193" i="4"/>
  <c r="Z193" i="4" s="1"/>
  <c r="AE692" i="4"/>
  <c r="AF692" i="4" s="1"/>
  <c r="Z967" i="4"/>
  <c r="Y967" i="4" s="1"/>
  <c r="Z1265" i="4"/>
  <c r="Y1265" i="4" s="1"/>
  <c r="H1277" i="4"/>
  <c r="H1276" i="4"/>
  <c r="Z1276" i="4" s="1"/>
  <c r="Y1276" i="4" s="1"/>
  <c r="AF467" i="4"/>
  <c r="K417" i="4"/>
  <c r="K401" i="4"/>
  <c r="AE401" i="4" s="1"/>
  <c r="AF401" i="4" s="1"/>
  <c r="J401" i="4"/>
  <c r="AB401" i="4" s="1"/>
  <c r="AC401" i="4" s="1"/>
  <c r="I401" i="4"/>
  <c r="Y401" i="4" s="1"/>
  <c r="Z401" i="4" s="1"/>
  <c r="I119" i="4"/>
  <c r="AF446" i="4"/>
  <c r="K340" i="4"/>
  <c r="J551" i="4"/>
  <c r="X438" i="4"/>
  <c r="AE228" i="4"/>
  <c r="AF228" i="4" s="1"/>
  <c r="J1107" i="4"/>
  <c r="AC1107" i="4" s="1"/>
  <c r="I1107" i="4"/>
  <c r="Z1107" i="4" s="1"/>
  <c r="K1107" i="4"/>
  <c r="AF1107" i="4" s="1"/>
  <c r="AF531" i="4"/>
  <c r="K261" i="4"/>
  <c r="K382" i="4"/>
  <c r="AF333" i="4"/>
  <c r="K1380" i="4"/>
  <c r="X285" i="4"/>
  <c r="Y285" i="4"/>
  <c r="AD361" i="4"/>
  <c r="AE361" i="4" s="1"/>
  <c r="X1205" i="4"/>
  <c r="X1003" i="4"/>
  <c r="Y1003" i="4" s="1"/>
  <c r="X1002" i="4"/>
  <c r="X1101" i="4"/>
  <c r="AA1101" i="4" s="1"/>
  <c r="AD1101" i="4" s="1"/>
  <c r="AF701" i="4"/>
  <c r="J222" i="4"/>
  <c r="AE509" i="4"/>
  <c r="AF509" i="4" s="1"/>
  <c r="AF391" i="4"/>
  <c r="AE394" i="4"/>
  <c r="AF394" i="4" s="1"/>
  <c r="J428" i="4"/>
  <c r="AF638" i="4"/>
  <c r="AE575" i="4"/>
  <c r="AF575" i="4" s="1"/>
  <c r="I286" i="4"/>
  <c r="AF630" i="4"/>
  <c r="AF248" i="4"/>
  <c r="AF510" i="4"/>
  <c r="AF267" i="4"/>
  <c r="AF86" i="4"/>
  <c r="AF92" i="4"/>
  <c r="AF281" i="4"/>
  <c r="AF133" i="4"/>
  <c r="K97" i="4"/>
  <c r="AA519" i="4"/>
  <c r="AB519" i="4" s="1"/>
  <c r="AD452" i="4"/>
  <c r="AE452" i="4" s="1"/>
  <c r="AF621" i="4"/>
  <c r="AE1180" i="4"/>
  <c r="AF1363" i="4"/>
  <c r="AA670" i="4"/>
  <c r="AF112" i="4"/>
  <c r="AA221" i="4"/>
  <c r="Z221" i="4"/>
  <c r="J1171" i="4"/>
  <c r="J1170" i="4"/>
  <c r="AC1170" i="4" s="1"/>
  <c r="AB1170" i="4" s="1"/>
  <c r="AC1166" i="4"/>
  <c r="AB1166" i="4" s="1"/>
  <c r="AA644" i="4"/>
  <c r="AB644" i="4" s="1"/>
  <c r="AD614" i="4"/>
  <c r="AE614" i="4" s="1"/>
  <c r="J520" i="4"/>
  <c r="AA339" i="4"/>
  <c r="AD139" i="4"/>
  <c r="AE139" i="4" s="1"/>
  <c r="X534" i="4"/>
  <c r="K470" i="4"/>
  <c r="AD298" i="4"/>
  <c r="AE298" i="4" s="1"/>
  <c r="AF1372" i="4"/>
  <c r="AF337" i="4"/>
  <c r="AF1366" i="4"/>
  <c r="K942" i="4"/>
  <c r="AF942" i="4" s="1"/>
  <c r="J942" i="4"/>
  <c r="AC942" i="4" s="1"/>
  <c r="I942" i="4"/>
  <c r="Z942" i="4" s="1"/>
  <c r="Y942" i="4" s="1"/>
  <c r="Z1206" i="4"/>
  <c r="Y1206" i="4" s="1"/>
  <c r="H1209" i="4"/>
  <c r="Z1209" i="4" s="1"/>
  <c r="Y1209" i="4" s="1"/>
  <c r="K400" i="4"/>
  <c r="AE400" i="4" s="1"/>
  <c r="AF400" i="4" s="1"/>
  <c r="J400" i="4"/>
  <c r="AB400" i="4" s="1"/>
  <c r="AC400" i="4" s="1"/>
  <c r="I400" i="4"/>
  <c r="Y400" i="4" s="1"/>
  <c r="Z400" i="4" s="1"/>
  <c r="K1101" i="4"/>
  <c r="J1101" i="4"/>
  <c r="I1101" i="4"/>
  <c r="AE249" i="4"/>
  <c r="AF249" i="4" s="1"/>
  <c r="X416" i="4"/>
  <c r="Y416" i="4" s="1"/>
  <c r="J563" i="4"/>
  <c r="I97" i="4"/>
  <c r="AF414" i="4"/>
  <c r="Z1042" i="4"/>
  <c r="X1042" i="4"/>
  <c r="X427" i="4"/>
  <c r="K428" i="4"/>
  <c r="I578" i="4"/>
  <c r="Z1012" i="4"/>
  <c r="H1017" i="4"/>
  <c r="Z1017" i="4" s="1"/>
  <c r="Y1017" i="4" s="1"/>
  <c r="H1018" i="4"/>
  <c r="Z1065" i="4"/>
  <c r="J1074" i="4"/>
  <c r="J261" i="4"/>
  <c r="AE540" i="4"/>
  <c r="AF540" i="4" s="1"/>
  <c r="AA285" i="4"/>
  <c r="AB285" i="4" s="1"/>
  <c r="AF458" i="4"/>
  <c r="AF174" i="4"/>
  <c r="AC66" i="4"/>
  <c r="AB66" i="4" s="1"/>
  <c r="M71" i="4"/>
  <c r="M70" i="4"/>
  <c r="AC70" i="4" s="1"/>
  <c r="AB70" i="4" s="1"/>
  <c r="I140" i="4"/>
  <c r="I645" i="4"/>
  <c r="AF410" i="4"/>
  <c r="AE116" i="4"/>
  <c r="AF116" i="4" s="1"/>
  <c r="J340" i="4"/>
  <c r="J439" i="4"/>
  <c r="X577" i="4"/>
  <c r="Y577" i="4" s="1"/>
  <c r="I453" i="4"/>
  <c r="AE464" i="4"/>
  <c r="AF464" i="4" s="1"/>
  <c r="X272" i="4"/>
  <c r="Y272" i="4" s="1"/>
  <c r="AE574" i="4"/>
  <c r="AF574" i="4" s="1"/>
  <c r="X595" i="4"/>
  <c r="X469" i="4"/>
  <c r="I470" i="4"/>
  <c r="J1380" i="4"/>
  <c r="H1381" i="4" s="1"/>
  <c r="AE393" i="4"/>
  <c r="AF393" i="4" s="1"/>
  <c r="K362" i="4"/>
  <c r="AF227" i="4"/>
  <c r="AF279" i="4"/>
  <c r="AF82" i="4"/>
  <c r="I222" i="4"/>
  <c r="AF541" i="4"/>
  <c r="J645" i="4"/>
  <c r="K615" i="4"/>
  <c r="Y1151" i="4"/>
  <c r="X707" i="4"/>
  <c r="AF168" i="4"/>
  <c r="AF652" i="4"/>
  <c r="AE1374" i="4"/>
  <c r="AF1374" i="4" s="1"/>
  <c r="AF526" i="4"/>
  <c r="AF235" i="4"/>
  <c r="I671" i="4"/>
  <c r="AB117" i="4"/>
  <c r="AC117" i="4" s="1"/>
  <c r="J119" i="4"/>
  <c r="I563" i="4"/>
  <c r="AF1166" i="4"/>
  <c r="AE1166" i="4" s="1"/>
  <c r="K1171" i="4"/>
  <c r="K1170" i="4"/>
  <c r="AF1170" i="4" s="1"/>
  <c r="AE1170" i="4" s="1"/>
  <c r="AD644" i="4"/>
  <c r="AE644" i="4" s="1"/>
  <c r="X632" i="4"/>
  <c r="Y632" i="4" s="1"/>
  <c r="AE389" i="4"/>
  <c r="AF389" i="4" s="1"/>
  <c r="I428" i="4"/>
  <c r="AE1199" i="4"/>
  <c r="K286" i="4"/>
  <c r="X298" i="4"/>
  <c r="AF702" i="4"/>
  <c r="AE570" i="4"/>
  <c r="AF570" i="4" s="1"/>
  <c r="AF266" i="4"/>
  <c r="AC193" i="4"/>
  <c r="H961" i="4"/>
  <c r="H960" i="4"/>
  <c r="Z960" i="4" s="1"/>
  <c r="Y960" i="4" s="1"/>
  <c r="Z956" i="4"/>
  <c r="Y956" i="4" s="1"/>
  <c r="H1245" i="4"/>
  <c r="H1244" i="4"/>
  <c r="Z1240" i="4"/>
  <c r="Y1240" i="4" s="1"/>
  <c r="I399" i="4"/>
  <c r="Y399" i="4" s="1"/>
  <c r="Z399" i="4" s="1"/>
  <c r="K399" i="4"/>
  <c r="AE399" i="4" s="1"/>
  <c r="AF399" i="4" s="1"/>
  <c r="J399" i="4"/>
  <c r="H1210" i="4"/>
  <c r="Z1205" i="4"/>
  <c r="Y1205" i="4" s="1"/>
  <c r="AA416" i="4"/>
  <c r="AF84" i="4"/>
  <c r="AF219" i="4"/>
  <c r="J615" i="4"/>
  <c r="AB1180" i="4"/>
  <c r="AF679" i="4"/>
  <c r="AF230" i="4"/>
  <c r="AE543" i="4"/>
  <c r="AF543" i="4" s="1"/>
  <c r="AF165" i="4"/>
  <c r="Z1025" i="4"/>
  <c r="H1029" i="4"/>
  <c r="H1028" i="4"/>
  <c r="Z1028" i="4" s="1"/>
  <c r="Y1028" i="4" s="1"/>
  <c r="AF105" i="4"/>
  <c r="J470" i="4"/>
  <c r="I382" i="4"/>
  <c r="AE639" i="4"/>
  <c r="AF639" i="4" s="1"/>
  <c r="J286" i="4"/>
  <c r="AD285" i="4"/>
  <c r="X361" i="4"/>
  <c r="AE257" i="4"/>
  <c r="AF257" i="4" s="1"/>
  <c r="K671" i="4"/>
  <c r="Y692" i="4"/>
  <c r="Z692" i="4" s="1"/>
  <c r="I70" i="4"/>
  <c r="Y70" i="4" s="1"/>
  <c r="Z70" i="4" s="1"/>
  <c r="I71" i="4"/>
  <c r="AF335" i="4"/>
  <c r="AF654" i="4"/>
  <c r="J241" i="4"/>
  <c r="K563" i="4"/>
  <c r="AF336" i="4"/>
  <c r="AF658" i="4"/>
  <c r="K645" i="4"/>
  <c r="AE651" i="4"/>
  <c r="AF651" i="4" s="1"/>
  <c r="I633" i="4"/>
  <c r="I520" i="4"/>
  <c r="AF650" i="4"/>
  <c r="K140" i="4"/>
  <c r="J535" i="4"/>
  <c r="K453" i="4"/>
  <c r="AE447" i="4"/>
  <c r="AF447" i="4" s="1"/>
  <c r="X1107" i="4"/>
  <c r="AA1107" i="4" s="1"/>
  <c r="AD1107" i="4" s="1"/>
  <c r="X1012" i="4"/>
  <c r="X1065" i="4"/>
  <c r="X1039" i="4"/>
  <c r="Y1039" i="4" s="1"/>
  <c r="X1025" i="4"/>
  <c r="AA595" i="4"/>
  <c r="AA469" i="4"/>
  <c r="AB469" i="4" s="1"/>
  <c r="AF459" i="4"/>
  <c r="I708" i="4"/>
  <c r="AA310" i="4"/>
  <c r="AF255" i="4"/>
  <c r="AF657" i="4"/>
  <c r="AE193" i="4"/>
  <c r="AF193" i="4" s="1"/>
  <c r="AF214" i="4"/>
  <c r="J671" i="4"/>
  <c r="AE229" i="4"/>
  <c r="AF229" i="4" s="1"/>
  <c r="AC692" i="4"/>
  <c r="AF653" i="4"/>
  <c r="AB1199" i="4"/>
  <c r="J1073" i="4" l="1"/>
  <c r="Z1073" i="4" s="1"/>
  <c r="Y1073" i="4" s="1"/>
  <c r="Y968" i="4"/>
  <c r="H1019" i="4"/>
  <c r="H973" i="4"/>
  <c r="Z973" i="4" s="1"/>
  <c r="Y973" i="4" s="1"/>
  <c r="Y1016" i="4"/>
  <c r="Y1085" i="4"/>
  <c r="Y1025" i="4"/>
  <c r="Z1244" i="4"/>
  <c r="Y1244" i="4" s="1"/>
  <c r="H1246" i="4"/>
  <c r="Y1042" i="4"/>
  <c r="X1210" i="4"/>
  <c r="Z1210" i="4"/>
  <c r="Y1210" i="4" s="1"/>
  <c r="X961" i="4"/>
  <c r="Z961" i="4"/>
  <c r="Z632" i="4"/>
  <c r="K403" i="4"/>
  <c r="Z1074" i="4"/>
  <c r="X1074" i="4"/>
  <c r="AA427" i="4"/>
  <c r="AF1101" i="4"/>
  <c r="AE1101" i="4" s="1"/>
  <c r="K1110" i="4"/>
  <c r="AF1110" i="4" s="1"/>
  <c r="K1109" i="4"/>
  <c r="AF1109" i="4" s="1"/>
  <c r="AE1109" i="4" s="1"/>
  <c r="AC1171" i="4"/>
  <c r="AA1171" i="4"/>
  <c r="AF361" i="4"/>
  <c r="Z1277" i="4"/>
  <c r="X1277" i="4"/>
  <c r="AC208" i="4"/>
  <c r="I939" i="4"/>
  <c r="Z939" i="4" s="1"/>
  <c r="Y939" i="4" s="1"/>
  <c r="K939" i="4"/>
  <c r="AF939" i="4" s="1"/>
  <c r="AE939" i="4" s="1"/>
  <c r="J939" i="4"/>
  <c r="AC939" i="4" s="1"/>
  <c r="AB939" i="4" s="1"/>
  <c r="I403" i="4"/>
  <c r="Z1005" i="4"/>
  <c r="X1005" i="4"/>
  <c r="H1211" i="4"/>
  <c r="AA298" i="4"/>
  <c r="AA707" i="4"/>
  <c r="Y595" i="4"/>
  <c r="Z595" i="4" s="1"/>
  <c r="AC71" i="4"/>
  <c r="AA71" i="4"/>
  <c r="J1075" i="4"/>
  <c r="X1018" i="4"/>
  <c r="Z1018" i="4"/>
  <c r="Y1018" i="4" s="1"/>
  <c r="AA534" i="4"/>
  <c r="AC644" i="4"/>
  <c r="AE1107" i="4"/>
  <c r="AA438" i="4"/>
  <c r="AF208" i="4"/>
  <c r="I824" i="4"/>
  <c r="Z824" i="4" s="1"/>
  <c r="Y824" i="4" s="1"/>
  <c r="K824" i="4"/>
  <c r="AF824" i="4" s="1"/>
  <c r="AE824" i="4" s="1"/>
  <c r="J824" i="4"/>
  <c r="AC824" i="4" s="1"/>
  <c r="AB824" i="4" s="1"/>
  <c r="Z982" i="4"/>
  <c r="Y982" i="4" s="1"/>
  <c r="H991" i="4"/>
  <c r="H990" i="4"/>
  <c r="Z990" i="4" s="1"/>
  <c r="Y990" i="4" s="1"/>
  <c r="AC452" i="4"/>
  <c r="AA96" i="4"/>
  <c r="AD1157" i="4"/>
  <c r="AE1157" i="4" s="1"/>
  <c r="AB1157" i="4"/>
  <c r="AF310" i="4"/>
  <c r="AC361" i="4"/>
  <c r="H1006" i="4"/>
  <c r="Z339" i="4"/>
  <c r="Z1171" i="4"/>
  <c r="X1171" i="4"/>
  <c r="Y484" i="4"/>
  <c r="Z484" i="4" s="1"/>
  <c r="X402" i="4"/>
  <c r="Y402" i="4" s="1"/>
  <c r="AD469" i="4"/>
  <c r="AC469" i="4"/>
  <c r="I72" i="4"/>
  <c r="X1029" i="4"/>
  <c r="Z1029" i="4"/>
  <c r="Y1029" i="4" s="1"/>
  <c r="AB416" i="4"/>
  <c r="AC416" i="4" s="1"/>
  <c r="AB399" i="4"/>
  <c r="AC399" i="4" s="1"/>
  <c r="J403" i="4"/>
  <c r="Y298" i="4"/>
  <c r="Z298" i="4" s="1"/>
  <c r="AD1171" i="4"/>
  <c r="AF1171" i="4"/>
  <c r="Y707" i="4"/>
  <c r="Z707" i="4" s="1"/>
  <c r="M72" i="4"/>
  <c r="Z1101" i="4"/>
  <c r="Y1101" i="4" s="1"/>
  <c r="I1109" i="4"/>
  <c r="Z1109" i="4" s="1"/>
  <c r="Y1109" i="4" s="1"/>
  <c r="I1110" i="4"/>
  <c r="AF298" i="4"/>
  <c r="Y534" i="4"/>
  <c r="Z534" i="4" s="1"/>
  <c r="AB339" i="4"/>
  <c r="AC339" i="4" s="1"/>
  <c r="AF614" i="4"/>
  <c r="Y1107" i="4"/>
  <c r="Y438" i="4"/>
  <c r="Z438" i="4" s="1"/>
  <c r="H1278" i="4"/>
  <c r="H974" i="4"/>
  <c r="AF339" i="4"/>
  <c r="Y1199" i="4"/>
  <c r="Y644" i="4"/>
  <c r="Z644" i="4" s="1"/>
  <c r="K944" i="4"/>
  <c r="AF944" i="4" s="1"/>
  <c r="AE944" i="4" s="1"/>
  <c r="J944" i="4"/>
  <c r="AC944" i="4" s="1"/>
  <c r="AB944" i="4" s="1"/>
  <c r="I944" i="4"/>
  <c r="Z944" i="4" s="1"/>
  <c r="Y944" i="4" s="1"/>
  <c r="K866" i="4"/>
  <c r="J866" i="4"/>
  <c r="I866" i="4"/>
  <c r="Z1051" i="4"/>
  <c r="Y1051" i="4" s="1"/>
  <c r="H1058" i="4"/>
  <c r="H1057" i="4"/>
  <c r="Z1057" i="4" s="1"/>
  <c r="Y1057" i="4" s="1"/>
  <c r="AC1066" i="4"/>
  <c r="AB1066" i="4" s="1"/>
  <c r="H1074" i="4"/>
  <c r="H1073" i="4"/>
  <c r="AC1073" i="4" s="1"/>
  <c r="AB1073" i="4" s="1"/>
  <c r="Y96" i="4"/>
  <c r="Z96" i="4" s="1"/>
  <c r="AA550" i="4"/>
  <c r="Z550" i="4"/>
  <c r="AA118" i="4"/>
  <c r="Z1260" i="4"/>
  <c r="X1260" i="4"/>
  <c r="AD632" i="4"/>
  <c r="AC632" i="4"/>
  <c r="Y614" i="4"/>
  <c r="Z614" i="4" s="1"/>
  <c r="AA562" i="4"/>
  <c r="Z562" i="4"/>
  <c r="AF670" i="4"/>
  <c r="AA402" i="4"/>
  <c r="AB402" i="4" s="1"/>
  <c r="Y361" i="4"/>
  <c r="Z361" i="4" s="1"/>
  <c r="AB310" i="4"/>
  <c r="AC310" i="4" s="1"/>
  <c r="AB595" i="4"/>
  <c r="AC595" i="4" s="1"/>
  <c r="X71" i="4"/>
  <c r="Y71" i="4" s="1"/>
  <c r="AE285" i="4"/>
  <c r="AF285" i="4" s="1"/>
  <c r="H1030" i="4"/>
  <c r="X1245" i="4"/>
  <c r="Z1245" i="4"/>
  <c r="Y1245" i="4" s="1"/>
  <c r="H962" i="4"/>
  <c r="AF644" i="4"/>
  <c r="Y469" i="4"/>
  <c r="Z469" i="4" s="1"/>
  <c r="AA272" i="4"/>
  <c r="Z272" i="4"/>
  <c r="AA577" i="4"/>
  <c r="Z577" i="4"/>
  <c r="AC285" i="4"/>
  <c r="Y1065" i="4"/>
  <c r="Y1012" i="4"/>
  <c r="Y427" i="4"/>
  <c r="Z427" i="4" s="1"/>
  <c r="Z416" i="4"/>
  <c r="AC1101" i="4"/>
  <c r="AB1101" i="4" s="1"/>
  <c r="J1109" i="4"/>
  <c r="AC1109" i="4" s="1"/>
  <c r="AB1109" i="4" s="1"/>
  <c r="J1110" i="4"/>
  <c r="AF139" i="4"/>
  <c r="AD221" i="4"/>
  <c r="AF221" i="4" s="1"/>
  <c r="AC221" i="4"/>
  <c r="AB670" i="4"/>
  <c r="AC670" i="4" s="1"/>
  <c r="AF452" i="4"/>
  <c r="AD519" i="4"/>
  <c r="AC519" i="4"/>
  <c r="Z285" i="4"/>
  <c r="AB1107" i="4"/>
  <c r="H975" i="4"/>
  <c r="Y208" i="4"/>
  <c r="Z208" i="4" s="1"/>
  <c r="AB614" i="4"/>
  <c r="AC614" i="4" s="1"/>
  <c r="AD660" i="4"/>
  <c r="AC660" i="4"/>
  <c r="Y483" i="4"/>
  <c r="Z483" i="4" s="1"/>
  <c r="I485" i="4"/>
  <c r="Y485" i="4" s="1"/>
  <c r="Z485" i="4" s="1"/>
  <c r="I486" i="4"/>
  <c r="K831" i="4"/>
  <c r="AF831" i="4" s="1"/>
  <c r="AE831" i="4" s="1"/>
  <c r="J831" i="4"/>
  <c r="AC831" i="4" s="1"/>
  <c r="AB831" i="4" s="1"/>
  <c r="I831" i="4"/>
  <c r="Z831" i="4" s="1"/>
  <c r="Y831" i="4" s="1"/>
  <c r="H1094" i="4"/>
  <c r="H1093" i="4"/>
  <c r="Z1093" i="4" s="1"/>
  <c r="Y1093" i="4" s="1"/>
  <c r="Z1080" i="4"/>
  <c r="Z670" i="4"/>
  <c r="Z519" i="4"/>
  <c r="AF595" i="4"/>
  <c r="Y118" i="4"/>
  <c r="Z118" i="4" s="1"/>
  <c r="AE416" i="4"/>
  <c r="AF416" i="4" s="1"/>
  <c r="Y1002" i="4"/>
  <c r="H1261" i="4"/>
  <c r="Y660" i="4"/>
  <c r="Z660" i="4" s="1"/>
  <c r="X166" i="4"/>
  <c r="H166" i="4"/>
  <c r="Z452" i="4"/>
  <c r="AE1171" i="4" l="1"/>
  <c r="Y1260" i="4"/>
  <c r="H1060" i="4"/>
  <c r="Y1171" i="4"/>
  <c r="Y1005" i="4"/>
  <c r="Y1277" i="4"/>
  <c r="AB1171" i="4"/>
  <c r="Z1094" i="4"/>
  <c r="Z1095" i="4" s="1"/>
  <c r="X1094" i="4"/>
  <c r="AD577" i="4"/>
  <c r="AB577" i="4"/>
  <c r="AC577" i="4" s="1"/>
  <c r="AC866" i="4"/>
  <c r="AB866" i="4" s="1"/>
  <c r="J869" i="4"/>
  <c r="AD96" i="4"/>
  <c r="AB96" i="4"/>
  <c r="AC96" i="4" s="1"/>
  <c r="Z991" i="4"/>
  <c r="X991" i="4"/>
  <c r="AD707" i="4"/>
  <c r="AB707" i="4"/>
  <c r="AC707" i="4" s="1"/>
  <c r="I166" i="4"/>
  <c r="H178" i="4"/>
  <c r="H177" i="4"/>
  <c r="H179" i="4"/>
  <c r="H1095" i="4"/>
  <c r="AE519" i="4"/>
  <c r="AF519" i="4" s="1"/>
  <c r="AD550" i="4"/>
  <c r="AB550" i="4"/>
  <c r="AC550" i="4" s="1"/>
  <c r="AA1074" i="4"/>
  <c r="AC1074" i="4"/>
  <c r="X1058" i="4"/>
  <c r="Z1058" i="4"/>
  <c r="AF866" i="4"/>
  <c r="AE866" i="4" s="1"/>
  <c r="K869" i="4"/>
  <c r="Z974" i="4"/>
  <c r="X974" i="4"/>
  <c r="AD534" i="4"/>
  <c r="AB534" i="4"/>
  <c r="AC534" i="4" s="1"/>
  <c r="E53" i="3"/>
  <c r="E55" i="3" s="1"/>
  <c r="H53" i="3"/>
  <c r="H55" i="3" s="1"/>
  <c r="G53" i="3"/>
  <c r="G55" i="3" s="1"/>
  <c r="F53" i="3"/>
  <c r="F55" i="3" s="1"/>
  <c r="AD427" i="4"/>
  <c r="AB427" i="4"/>
  <c r="AC427" i="4" s="1"/>
  <c r="X486" i="4"/>
  <c r="Y486" i="4" s="1"/>
  <c r="Y1080" i="4"/>
  <c r="AE660" i="4"/>
  <c r="AF660" i="4" s="1"/>
  <c r="AD272" i="4"/>
  <c r="AB272" i="4"/>
  <c r="AC272" i="4" s="1"/>
  <c r="Z71" i="4"/>
  <c r="AE632" i="4"/>
  <c r="AF632" i="4" s="1"/>
  <c r="Z1110" i="4"/>
  <c r="X1110" i="4"/>
  <c r="Z402" i="4"/>
  <c r="H992" i="4"/>
  <c r="AB71" i="4"/>
  <c r="AB298" i="4"/>
  <c r="AC298" i="4" s="1"/>
  <c r="I487" i="4"/>
  <c r="AC1110" i="4"/>
  <c r="AA1110" i="4"/>
  <c r="AD1110" i="4" s="1"/>
  <c r="AE1110" i="4" s="1"/>
  <c r="AD402" i="4"/>
  <c r="AC402" i="4"/>
  <c r="AD562" i="4"/>
  <c r="AB562" i="4"/>
  <c r="AC562" i="4" s="1"/>
  <c r="AD118" i="4"/>
  <c r="AB118" i="4"/>
  <c r="AC118" i="4" s="1"/>
  <c r="H1075" i="4"/>
  <c r="Z866" i="4"/>
  <c r="Y866" i="4" s="1"/>
  <c r="I869" i="4"/>
  <c r="Z869" i="4" s="1"/>
  <c r="AE469" i="4"/>
  <c r="AF469" i="4" s="1"/>
  <c r="AD438" i="4"/>
  <c r="AB438" i="4"/>
  <c r="AC438" i="4" s="1"/>
  <c r="Y1074" i="4"/>
  <c r="Y961" i="4"/>
  <c r="AB1074" i="4" l="1"/>
  <c r="Y1110" i="4"/>
  <c r="Y974" i="4"/>
  <c r="Y991" i="4"/>
  <c r="AE402" i="4"/>
  <c r="AF402" i="4" s="1"/>
  <c r="Y166" i="4"/>
  <c r="Z166" i="4" s="1"/>
  <c r="AE577" i="4"/>
  <c r="AF577" i="4" s="1"/>
  <c r="AE550" i="4"/>
  <c r="AF550" i="4" s="1"/>
  <c r="AE118" i="4"/>
  <c r="AF118" i="4" s="1"/>
  <c r="AE562" i="4"/>
  <c r="AF562" i="4" s="1"/>
  <c r="AB1110" i="4"/>
  <c r="AE272" i="4"/>
  <c r="AF272" i="4" s="1"/>
  <c r="AE534" i="4"/>
  <c r="AF534" i="4" s="1"/>
  <c r="J177" i="4"/>
  <c r="I177" i="4"/>
  <c r="K177" i="4"/>
  <c r="AE438" i="4"/>
  <c r="AF438" i="4" s="1"/>
  <c r="Z486" i="4"/>
  <c r="AE427" i="4"/>
  <c r="AF427" i="4" s="1"/>
  <c r="Y1058" i="4"/>
  <c r="I178" i="4"/>
  <c r="X178" i="4" s="1"/>
  <c r="Z178" i="4" s="1"/>
  <c r="K178" i="4"/>
  <c r="AD178" i="4" s="1"/>
  <c r="AF178" i="4" s="1"/>
  <c r="J178" i="4"/>
  <c r="AA178" i="4" s="1"/>
  <c r="AC178" i="4" s="1"/>
  <c r="AE707" i="4"/>
  <c r="AF707" i="4" s="1"/>
  <c r="AE96" i="4"/>
  <c r="AF96" i="4" s="1"/>
  <c r="Y1094" i="4"/>
  <c r="Y177" i="4" l="1"/>
  <c r="Z177" i="4" s="1"/>
  <c r="I179" i="4"/>
  <c r="AE177" i="4"/>
  <c r="AF177" i="4" s="1"/>
  <c r="K179" i="4"/>
  <c r="AB177" i="4"/>
  <c r="AC177" i="4" s="1"/>
  <c r="J179" i="4"/>
</calcChain>
</file>

<file path=xl/comments1.xml><?xml version="1.0" encoding="utf-8"?>
<comments xmlns="http://schemas.openxmlformats.org/spreadsheetml/2006/main">
  <authors>
    <author/>
  </authors>
  <commentList>
    <comment ref="D34" authorId="0" shapeId="0">
      <text>
        <r>
          <rPr>
            <sz val="11"/>
            <color theme="1"/>
            <rFont val="Calibri"/>
            <family val="2"/>
            <charset val="204"/>
            <scheme val="minor"/>
          </rPr>
          <t>======
ID#AAAAkvnZiRE
Anastasiya Marchuk    (2022-11-26 20:37:31)
По новим активностям необхідно зазначити відповідні модуль та інтервенцію з робочого плану
------
ID#AAAAkvnZiRI
Anastasiya Marchuk    (2022-11-26 20:37:48)
@n.savchenko@network.org.ua</t>
        </r>
      </text>
    </comment>
    <comment ref="G49" authorId="0" shapeId="0">
      <text>
        <r>
          <rPr>
            <sz val="11"/>
            <color theme="1"/>
            <rFont val="Calibri"/>
            <family val="2"/>
            <charset val="204"/>
            <scheme val="minor"/>
          </rPr>
          <t>======
ID#AAAAkvnZiRM
Anastasiya Marchuk    (2022-11-26 20:39:58)
Має бути назва напрямку, незважаючи на об'єднання, оскільки це різні бюджети
------
ID#AAAAkvnZiRQ
Anastasiya Marchuk    (2022-11-26 20:40:13)
@a.gubskaya@network.org.ua</t>
        </r>
      </text>
    </comment>
    <comment ref="P56" authorId="0" shapeId="0">
      <text>
        <r>
          <rPr>
            <sz val="11"/>
            <color theme="1"/>
            <rFont val="Calibri"/>
            <family val="2"/>
            <charset val="204"/>
            <scheme val="minor"/>
          </rPr>
          <t>======
ID#AAAARTvPS0w
Valeriia Rachynska    (2021-10-29 12:23:53)
@o.kirichok@network.org.ua 1 проект</t>
        </r>
      </text>
    </comment>
  </commentList>
  <extLst>
    <ext xmlns:r="http://schemas.openxmlformats.org/officeDocument/2006/relationships" uri="GoogleSheetsCustomDataVersion1">
      <go:sheetsCustomData xmlns:go="http://customooxmlschemas.google.com/" r:id="rId1" roundtripDataSignature="AMtx7mgRJ2gPcHyezoRb7CAArAFwU5YJAw=="/>
    </ext>
  </extLst>
</comments>
</file>

<file path=xl/comments2.xml><?xml version="1.0" encoding="utf-8"?>
<comments xmlns="http://schemas.openxmlformats.org/spreadsheetml/2006/main">
  <authors>
    <author/>
  </authors>
  <commentList>
    <comment ref="D1149" authorId="0" shapeId="0">
      <text>
        <r>
          <rPr>
            <sz val="11"/>
            <color theme="1"/>
            <rFont val="Calibri"/>
            <family val="2"/>
            <charset val="204"/>
            <scheme val="minor"/>
          </rPr>
          <t>======
ID#AAAAjNs7dfU
Марчук Анастасія    (2022-11-02 12:24:33)
Print 500 copies of the Report (A4 brochure, 100+ pages, cover 4 + 0, 250 g \ m, block 1 + 1, 80 g \ m) - UAH 42,000 (calculation example https://www.printc.kiev.ua/ ua / col_druk.html
https://www.poligrafiya-pereplet.kiev.ua/digitalprint-kiev.html). Processing, editing of text and graphic materials for the Report - UAH 3,000
Layout and design of the Report - UAH 5,000. (example of calculation
https://bee-print.com.ua/design/)</t>
        </r>
      </text>
    </comment>
    <comment ref="G1316" authorId="0" shapeId="0">
      <text>
        <r>
          <rPr>
            <sz val="11"/>
            <color theme="1"/>
            <rFont val="Calibri"/>
            <family val="2"/>
            <charset val="204"/>
            <scheme val="minor"/>
          </rPr>
          <t>======
ID#AAAAjNs7dfQ
Марчук Анастасія    (2022-11-02 12:24:33)
3 year x 3 consultants</t>
        </r>
      </text>
    </comment>
  </commentList>
  <extLst>
    <ext xmlns:r="http://schemas.openxmlformats.org/officeDocument/2006/relationships" uri="GoogleSheetsCustomDataVersion1">
      <go:sheetsCustomData xmlns:go="http://customooxmlschemas.google.com/" r:id="rId1" roundtripDataSignature="AMtx7mg2AhwXCFhdQNDML4FQc4ueq1Ux6w=="/>
    </ext>
  </extLst>
</comments>
</file>

<file path=xl/metadata.xml><?xml version="1.0" encoding="utf-8"?>
<metadata xmlns="http://schemas.openxmlformats.org/spreadsheetml/2006/main">
  <metadataTypes count="1">
    <metadataType name="XLRICHVALUE" minSupportedVersion="120000" copy="1" pasteAll="1" pasteValues="1" merge="1" splitFirst="1" rowColShift="1" clearFormats="1" clearComments="1" assign="1" coerce="1"/>
  </metadataTypes>
  <futureMetadata name="XLRICHVALUE" count="2">
    <bk>
      <extLst>
        <ext xmlns:xlrd="http://schemas.microsoft.com/office/spreadsheetml/2017/richdata" uri="{3e2802c4-a4d2-4d8b-9148-e3be6c30e623}">
          <xlrd:rvb i="0"/>
        </ext>
      </extLst>
    </bk>
    <bk>
      <extLst>
        <ext xmlns:xlrd="http://schemas.microsoft.com/office/spreadsheetml/2017/richdata" uri="{3e2802c4-a4d2-4d8b-9148-e3be6c30e623}">
          <xlrd:rvb i="1"/>
        </ext>
      </extLst>
    </bk>
  </futureMetadata>
  <valueMetadata count="2">
    <bk>
      <rc t="1" v="0"/>
    </bk>
    <bk>
      <rc t="1" v="1"/>
    </bk>
  </valueMetadata>
</metadata>
</file>

<file path=xl/sharedStrings.xml><?xml version="1.0" encoding="utf-8"?>
<sst xmlns="http://schemas.openxmlformats.org/spreadsheetml/2006/main" count="14526" uniqueCount="2470">
  <si>
    <t>Коротка назва НУО</t>
  </si>
  <si>
    <t>Назва напрямку</t>
  </si>
  <si>
    <t>Охоплення</t>
  </si>
  <si>
    <t>одиниця розрахунку</t>
  </si>
  <si>
    <t>Об'єм фінансування</t>
  </si>
  <si>
    <t>Регіон роботи</t>
  </si>
  <si>
    <t>100% життя Вінниця</t>
  </si>
  <si>
    <t>103M</t>
  </si>
  <si>
    <t>103M. Формування прихильності до лікування та соціальний супровід пацієнтів з медико-резистентним туберкульозом</t>
  </si>
  <si>
    <t>осіб</t>
  </si>
  <si>
    <t>Вінницька</t>
  </si>
  <si>
    <t>103M1</t>
  </si>
  <si>
    <t>103M1. Формування прихильності до лікування та соціальний супровід пацієнтів з медико-резистентним туберкульозом (перехідні клієнти)</t>
  </si>
  <si>
    <t>проєкт</t>
  </si>
  <si>
    <t>104M</t>
  </si>
  <si>
    <t>104M. Формування прихильності до лікування та соціальний супровід пацієнтів з чутливим туберкульозом</t>
  </si>
  <si>
    <t>104M1</t>
  </si>
  <si>
    <t>104M1. Формування прихильності до лікування та соціальний супровід пацієнтів з чутливим туберкульозом (перехідні клієнти)</t>
  </si>
  <si>
    <t>110M</t>
  </si>
  <si>
    <t>110M. Робота з клієнтами з груп високого ризику щодо активного туберкульозу (включаючи ВІЛ-інфікованих) та охоплення їх профілактичним лікуванням ТБ</t>
  </si>
  <si>
    <t>111M</t>
  </si>
  <si>
    <t>111M. Формування прихильності до хіміопрофілактики туберкульозу у ВІЛ-позитивних осіб, які перебувають в установах ДКВСУ</t>
  </si>
  <si>
    <t>114M</t>
  </si>
  <si>
    <t>114M. Доконтактна профілактика (PrEP) в установах Державної кримінально-виконавчої служби України</t>
  </si>
  <si>
    <t>119M</t>
  </si>
  <si>
    <t>119M. Медична та соціальна підтримка важкодоступних клієнтів (малі міста, селища) у контексті ВІЛ / ТБ / ВГС</t>
  </si>
  <si>
    <t>120M</t>
  </si>
  <si>
    <t>120M. Консультування та супровід тестування на ВІЛ в установах ДКВСУ</t>
  </si>
  <si>
    <t>122M</t>
  </si>
  <si>
    <t>122M. Надання послуг немедичного догляду ВІЛ-позитивним особам</t>
  </si>
  <si>
    <t>125M</t>
  </si>
  <si>
    <t>125M. Представництво інтересів ВІЛ-позитивних осіб з метою їх соціалізації, забезпечення прихильності до лікування ВІЛ та медичних послуг</t>
  </si>
  <si>
    <t>126M</t>
  </si>
  <si>
    <t>126M. Комплексна модель роботи з ВІЛ-позитивними пацієнтами, які випали з-під медичного спостереження</t>
  </si>
  <si>
    <t>128M</t>
  </si>
  <si>
    <t>128M. Розвиток прихильності до антиретровірусного лікування та психосоціальна підтримка ВІЛ-позитивних ув'язнених</t>
  </si>
  <si>
    <t>129M</t>
  </si>
  <si>
    <t xml:space="preserve">129M. Підготовка до звільнення ВІЛ-позитивних засуджених для забезпечення безперервності лікування </t>
  </si>
  <si>
    <t>135M</t>
  </si>
  <si>
    <t>135M. Документування побічних реакцій внаслідок прийому АРТ та протитуберкульозної терапії</t>
  </si>
  <si>
    <t>138M</t>
  </si>
  <si>
    <t>138M. Забезпечення діагностики та соціальний супровід лікування ВГС в установах ДКВСУ</t>
  </si>
  <si>
    <t>201M</t>
  </si>
  <si>
    <t>201M. Безперебійне та безпечне надання послуг з ВІЛ в умовах карантинних обмежень</t>
  </si>
  <si>
    <t>202M</t>
  </si>
  <si>
    <t>202M. Організація доставки АРВ терапії пацієнтам в умовах карантинних обмежень</t>
  </si>
  <si>
    <t>203M</t>
  </si>
  <si>
    <t>203M. Організація транспортування хворих на ВІЛ та\чи ТБ та\чи ВГС для проходження необхідної спеціалізованої діагностики</t>
  </si>
  <si>
    <t>204M</t>
  </si>
  <si>
    <t>204M. Безперебійне та безпечне надання послуг з ТБ в умовах карантинних обмежень</t>
  </si>
  <si>
    <t>205M</t>
  </si>
  <si>
    <t>205M. Забезпечення доступу до послуг з обстеження на маркери опортуністичних інфекцій (Ig M, IgG, ПЛР) та діагностичні МРТ, КТ для ВІЛ-інфікованих засуджених та осіб взятих під варту</t>
  </si>
  <si>
    <t>206M</t>
  </si>
  <si>
    <t>206M. Створення доступу до лабораторного та соціального супровіду для ВІЛ-інфікованих в ДКВСУ до імунологічних обстежень (CD 4)</t>
  </si>
  <si>
    <t>214M</t>
  </si>
  <si>
    <t>214M. Усунення бар'єрів пов'язаних з COVID-19 для належного та ефективного впровадження інтервенції по роботі з контактними особами по ТБ для підвищення рівня виявлення та\або хіміопрофілактики ТБ</t>
  </si>
  <si>
    <t>100% життя Кривий Ріг</t>
  </si>
  <si>
    <t>Дніпропетровська</t>
  </si>
  <si>
    <t>105M</t>
  </si>
  <si>
    <t>105M. Надання комплексної медико-соціальної підтримки та психологічної допомоги дітям та підліткам з ТБ - "СОЦІАЛЬНА НЯНЯ"</t>
  </si>
  <si>
    <t>123M</t>
  </si>
  <si>
    <t>123M. Медико-соціальний супровід ВІЛ+ дітей та дітей, яких торкнулася епідемія ВІЛ/СНІДу</t>
  </si>
  <si>
    <t>128M1</t>
  </si>
  <si>
    <t>128M1. Створення умов для організації та надання дистанційних послуг ВІЛ-позитивним ув'язненим і засудженим</t>
  </si>
  <si>
    <t>установа</t>
  </si>
  <si>
    <t>100% життя Дніпро</t>
  </si>
  <si>
    <t>106M</t>
  </si>
  <si>
    <t>106M. Формування прихильності до лікування та психосоціальна підтримка ув'язнених з мультирезистентним туберкульозом</t>
  </si>
  <si>
    <t>107M</t>
  </si>
  <si>
    <t>107M. Формування прихильності до лікування та психосоціальна підтримки ув'язнених із чутливим туберкульозом</t>
  </si>
  <si>
    <t>108M</t>
  </si>
  <si>
    <t>108M. Забезпечення продовження протитуберкульозного лікування особами, які звільнені з місць позбавлення волі</t>
  </si>
  <si>
    <t>Світанок</t>
  </si>
  <si>
    <t>Донецька</t>
  </si>
  <si>
    <t>164M</t>
  </si>
  <si>
    <t>164M. Підтримка НУО-партнерів, які після 24.02.2022 опинилися на тимчасово окупованих територіях або в зоні активних бойових дій</t>
  </si>
  <si>
    <t>НТСБ</t>
  </si>
  <si>
    <t>Житомирська</t>
  </si>
  <si>
    <t>109M</t>
  </si>
  <si>
    <t>109M. Психо-соціальна підтримка та немедичний догляд хворих на мультирезистентний туберкульоз, які перебувають на паліативному лікуванні</t>
  </si>
  <si>
    <t>100% життя Закарпаття</t>
  </si>
  <si>
    <t>Закарпатська</t>
  </si>
  <si>
    <t>137M</t>
  </si>
  <si>
    <t>137M. Діагностика, забезпечення ефективної переадресації для диспансеризації та отримання лікування, соціальний супровід лікування ВГС у представників ЛЖВ з ключових груп</t>
  </si>
  <si>
    <t>100% життя Запоріжжя</t>
  </si>
  <si>
    <t>Запорізька</t>
  </si>
  <si>
    <t>100% життя Івано-Франківськ</t>
  </si>
  <si>
    <t>Івано-Франківська</t>
  </si>
  <si>
    <t>100% життя Кропивницький</t>
  </si>
  <si>
    <t>Кіровоградська</t>
  </si>
  <si>
    <t>100% життя Луганськ</t>
  </si>
  <si>
    <t>Одеська</t>
  </si>
  <si>
    <t>тимчасово
 не здійснюють
 програмну
 діяльність</t>
  </si>
  <si>
    <t>100% життя Львів</t>
  </si>
  <si>
    <t>Львівська</t>
  </si>
  <si>
    <t>Львівська
Тернопільська</t>
  </si>
  <si>
    <t>219M</t>
  </si>
  <si>
    <t>219M. Створення шелтерів та кризових кімнат для представників ключових спільнот які постраждали від гендерно-зумовленого насильства під час пандемії COVID-19</t>
  </si>
  <si>
    <t>100% життя Київ</t>
  </si>
  <si>
    <t>Київ, Київська</t>
  </si>
  <si>
    <t>ВІЛЬНА ЗОНА</t>
  </si>
  <si>
    <t>112M</t>
  </si>
  <si>
    <t>112M. Поведінкові втручання, спрямовані на зміну ризикованої поведінки серед ув'язнених СІН в установах ДКВСУ</t>
  </si>
  <si>
    <t>всі регіони України</t>
  </si>
  <si>
    <t>113M</t>
  </si>
  <si>
    <t>113M. Поведінкові інтервенції, які направлені на зміну ризикованої поведінки засуджених у виправних установах, підготовка соціальних працівників та\або волонтерів з числа ув'язнених для надання послуг соціального супроводу в установах ДКВСУ</t>
  </si>
  <si>
    <t>116M</t>
  </si>
  <si>
    <t>116M. Забезпечення участі звільнених з місць позбавлення волі в програмах ЗПТ, зменшення шкоди та ресоціалізація</t>
  </si>
  <si>
    <t>207M</t>
  </si>
  <si>
    <t>207M. Забезпечення потреб установ ДКВСУ в контексті COVID-19: облаштування консультативних кабінетів по підготовці до звільнення, забезпечення оплати за здійснення утилізації медичних відходів</t>
  </si>
  <si>
    <t>ЕЛЕОС-УКРАЇНА</t>
  </si>
  <si>
    <t>Чернівецька
Івано-Франківська
Рівненська</t>
  </si>
  <si>
    <t>Пенітенціарна ініціатива</t>
  </si>
  <si>
    <t>Миколаївська</t>
  </si>
  <si>
    <t>Час життя Миколаїв</t>
  </si>
  <si>
    <t>Фонд профілактики</t>
  </si>
  <si>
    <t>139M</t>
  </si>
  <si>
    <t>139M. Підтримка Всеукраїнської гарячої лінії з питань ВІЛ / СНІДу, туберкульозу</t>
  </si>
  <si>
    <t>Час життя плюс</t>
  </si>
  <si>
    <t>127M</t>
  </si>
  <si>
    <t>127M. Супровід, догляд та підтримка дорослих пацієнтів з високою складністю перебігу ВІЛ-інфекції на базі клініки Інституту епідеміології та інфекційних хвороб ім. Л.В. Громашевського на основі комплексного мультидисциплінарного підходу</t>
  </si>
  <si>
    <t>Дитинство без СНІДу</t>
  </si>
  <si>
    <t>124M</t>
  </si>
  <si>
    <t>124M. Медико-соціальний супровід ВІЛ-інфікованих дітей на базі НДСЛ "ОХМАТДИТ" та центрів СНІДу</t>
  </si>
  <si>
    <t>100% життя Одеса</t>
  </si>
  <si>
    <t>Світло надії</t>
  </si>
  <si>
    <t>Полтавська</t>
  </si>
  <si>
    <t>100% життя Рівне</t>
  </si>
  <si>
    <t>Рівненська</t>
  </si>
  <si>
    <t>Рівненська
Волинська</t>
  </si>
  <si>
    <t>Клуб Шанс Суми</t>
  </si>
  <si>
    <t>Сумська</t>
  </si>
  <si>
    <t>100% життя Харків</t>
  </si>
  <si>
    <t>Харківська</t>
  </si>
  <si>
    <t>Асоціація 21 століття</t>
  </si>
  <si>
    <t>тимчасово
 не здійснює
 програмну
діяльність</t>
  </si>
  <si>
    <t>100% життя Хмельницький</t>
  </si>
  <si>
    <t>Хмельницька</t>
  </si>
  <si>
    <t>100% життя Черкаси</t>
  </si>
  <si>
    <t>Черкаська</t>
  </si>
  <si>
    <t>100% життя Чернівці</t>
  </si>
  <si>
    <t>Чернівецька</t>
  </si>
  <si>
    <t>Тернопільська</t>
  </si>
  <si>
    <t>100% життя Чернігів</t>
  </si>
  <si>
    <t>Чернігівська</t>
  </si>
  <si>
    <t>205М. Створення доступу до лабораторного та соціального супровіду  для ВІЛ-інфікованих в ДКВСУ:  обстеження на маркери опортуністичних інфекцій (Ig M, Ig G, ПЦР)</t>
  </si>
  <si>
    <t>ТБ Люди України</t>
  </si>
  <si>
    <t>101M</t>
  </si>
  <si>
    <t>101M. Забезпечити своєчасне транспортування мокроти до лабораторій вищого рівня для бактеріологічних досліджень на туберкульоз</t>
  </si>
  <si>
    <t>Пацієнти України</t>
  </si>
  <si>
    <t>140M</t>
  </si>
  <si>
    <t>140M. Адвокація розширення суб'єктів, уповноважених проводити лікування та медичний нагляд ЛЖВ та пацієнтів з ТБ, зокрема лікарів первинної ланки надання медичної допомоги та приватних постачальників</t>
  </si>
  <si>
    <t>Вільна зона</t>
  </si>
  <si>
    <t>141M</t>
  </si>
  <si>
    <t>141M. Адвокація розширення програм та забезпечення бюджетного фінансування служб охорони здоров'я для засуджених та звільнених осіб</t>
  </si>
  <si>
    <t>УФПД</t>
  </si>
  <si>
    <t>142M</t>
  </si>
  <si>
    <t>142M. Адвокація права на безоплатну правову допомогу представників ключових груп шляхом формалізації процедур надання такої допомоги вразливим до ВІЛ групам на рівні адміністрації системи гарантованого державою захисту</t>
  </si>
  <si>
    <t>143M</t>
  </si>
  <si>
    <t>143M. Моніторинг представниками спільноти діяльності Централізованої закупівельної організації з централізованої закупівлі медичних товарів та підвищення ефективності національної закупівельної системи</t>
  </si>
  <si>
    <t>Підлітки України</t>
  </si>
  <si>
    <t>145M</t>
  </si>
  <si>
    <t>145M. Розвиток потенціалу та лідерства спільноти підлітків, які живуть з ВІЛ, адвокаційна діяльність та законодавчі зміни</t>
  </si>
  <si>
    <t>вся територія України, крім окупованих територій</t>
  </si>
  <si>
    <t>146M</t>
  </si>
  <si>
    <t>146M. Розробка, підтримка та посилення механізмів громадського контролю за дотриманням прав осіб, уразливих до ВІЛ у місцях позбавлення волі та в процесі реформи тюремної системи України представниками громади засуджених та звільнених осіб</t>
  </si>
  <si>
    <t>ЕЛЕОС-Україна</t>
  </si>
  <si>
    <t>147M</t>
  </si>
  <si>
    <t>147M. Мобілізація релігійних громад та організацій для подолання стигми і дискримінації людей, які живуть з ВІЛ та представників ключових груп</t>
  </si>
  <si>
    <t>м. Київ</t>
  </si>
  <si>
    <t>УГСПЛ</t>
  </si>
  <si>
    <t>148M</t>
  </si>
  <si>
    <t>148M. Юридичний супровід, інформування, перенаправлення, консультації та представництво інтересів людей, які живуть ВІЛ, ТБ та представників уразливих груп населення</t>
  </si>
  <si>
    <t>148M1</t>
  </si>
  <si>
    <t>148M1. Юридичний супровід, інформування, перенаправлення, консультації та представництво інтересів людей, які живуть ВІЛ, ТБ та представників уразливих груп населення, пов’язаних із COVID-19</t>
  </si>
  <si>
    <t>150M</t>
  </si>
  <si>
    <t>150M. Зниження рівня стигматизації та дискримінації стосовно паціенктів з ТБ серед медичних працівників</t>
  </si>
  <si>
    <t>151M</t>
  </si>
  <si>
    <t>151M. Зниження стигми та дискримінації працівників Державної пенітенціарної служби України та органами пробації стосовно групи вразливих в'язниць або осіб, звільнених з місць позбавлення волі</t>
  </si>
  <si>
    <t>Лега-лайф</t>
  </si>
  <si>
    <t>152M</t>
  </si>
  <si>
    <t>152M. Посилення лідерської ролі в адвокації для розвитку спроможності спільноти секс-працівників_ць на національному та регіональному рівні для забезпечення стійкості послуг з ВІЛ</t>
  </si>
  <si>
    <t>153M</t>
  </si>
  <si>
    <t>153M. Поширення використання електронних інструментів для моніторингу ситуації з туберкульозом на базі громади, використовуючи можливості мобільного додатку OneImpact</t>
  </si>
  <si>
    <t>ВОЛНА</t>
  </si>
  <si>
    <t>154M</t>
  </si>
  <si>
    <t>154M. Посилення лідерської ролі в адвокації для розвитку спроможності спільноти ЛВІН на національному та регіональному рівні для забезпечення стійкості послуг з ВІЛ</t>
  </si>
  <si>
    <t>154M1</t>
  </si>
  <si>
    <t>154M1. Посилення лідерської ролі в адвокації для розвитку спроможності спільноти ЛВІН на національному та регіональному рівні для забезпечення стійкості послуг з ВІЛ</t>
  </si>
  <si>
    <t>154M2</t>
  </si>
  <si>
    <t>154M2. Посилення лідерської ролі в адвокації для розвитку спроможності спільноти ЛВІН на національному та регіональному рівні для забезпечення стійкості послуг з ВІЛ</t>
  </si>
  <si>
    <t>155M</t>
  </si>
  <si>
    <t>155M. Посилення лідерської ролі в адвокації для розвитку спроможності ТБ спільноти на національному та регіональному рівні для забезпечення стійкості послуг з туберкульозу</t>
  </si>
  <si>
    <t>Позитивні жінки</t>
  </si>
  <si>
    <t>156M</t>
  </si>
  <si>
    <t>156M. Посилення лідерської ролі в адвокації для розвитку спроможності спільноти жінок, які живуть з ВІЛ на національному та регіональному рівні для забезпечення надання стійкості послуг з ВІЛ</t>
  </si>
  <si>
    <t>Альянс.Глобал</t>
  </si>
  <si>
    <t>157M</t>
  </si>
  <si>
    <t>157M. Посилення лідерської ролі в адвокації для розвитку спроможності спільноти ЧСЧ на національному та регіональному рівні для забезпечення стійкості послуг з ВІЛ</t>
  </si>
  <si>
    <t>158M</t>
  </si>
  <si>
    <t>158M. Посилення ролі та розвитку спроможності спільноти колишніх ув’язнених у відстоюванні прав на національному та регіональному рівні для посилення впливу спільноти на політики з ресоціалізації</t>
  </si>
  <si>
    <t>158M1</t>
  </si>
  <si>
    <t>158M1. Посилення ролі та розвитку спроможності спільноти колишніх ув’язнених у відстоюванні прав на національному та регіональному рівні для посилення впливу спільноти на політики з ресоціалізації</t>
  </si>
  <si>
    <t>159M</t>
  </si>
  <si>
    <t>159M. Розбудова пацієнторієнтованої моделі системи охорони здоров’я для людей, які перебувають в установах виконання покарань та слідчих ізоляторах Державної кримінально-виконавчої служби України</t>
  </si>
  <si>
    <t>160M</t>
  </si>
  <si>
    <t>160M. Створення національного хабу надавачів параюридичної допомоги які є представниками уразливими до ВІЛ груп</t>
  </si>
  <si>
    <t>162M</t>
  </si>
  <si>
    <t>162M. Адвокація та технічна підтримка сталого реагування на ВІЛ та ТБ на регіональному рівні</t>
  </si>
  <si>
    <t>209M</t>
  </si>
  <si>
    <t>209M. Параюридична допомога постраждалим від дискримінації, зокрема жертвам гендерно-обумовленого та домашнього насильства</t>
  </si>
  <si>
    <t>210M</t>
  </si>
  <si>
    <t>210M. Розбудова мережі параюристів спільноти чоловіків, які мають секс з чоловіками</t>
  </si>
  <si>
    <t>211M</t>
  </si>
  <si>
    <t>211M. Розбудова мережі параюристів спільноти секс працівників та секс-працівниць</t>
  </si>
  <si>
    <t>212M</t>
  </si>
  <si>
    <t>212M. Розбудова мережі параюристів ТБ спільноти</t>
  </si>
  <si>
    <t>Жіночий простір</t>
  </si>
  <si>
    <t>213M</t>
  </si>
  <si>
    <t>213M. Підтримка жінок уразливих до насильства, та жінок, які постраждали від гендерно-обумовленого і домашнього насильства</t>
  </si>
  <si>
    <t>Дніпропетровська, Житомирська, Запорізька, Івано-Франківська, Кіровоградська, Миколаївська, Одеська, Полтавська, Харківська, Хмельницька, Черкаська області</t>
  </si>
  <si>
    <t>вся територія України</t>
  </si>
  <si>
    <t>215M</t>
  </si>
  <si>
    <t>215M. Надання соціальної підтримки жінкам із ключових груп, які опинилися у складних обставинах спричинених пандемією COVID-19</t>
  </si>
  <si>
    <t>Київська область</t>
  </si>
  <si>
    <t>216M</t>
  </si>
  <si>
    <t>216M. Покращення психічного здоров’я жінок, які вживають наркотики, секс-працівниць, транс*жінок та жінок, які живуть з ВІЛ</t>
  </si>
  <si>
    <t>218M</t>
  </si>
  <si>
    <t>218M. Підтримка національної гарячої лінії для секс-працівниць і секс-працівників</t>
  </si>
  <si>
    <t>шелтер у м. Київ</t>
  </si>
  <si>
    <t>Організація</t>
  </si>
  <si>
    <t>Код ЄДРПОУ</t>
  </si>
  <si>
    <t>Адреса юридична (для листування)</t>
  </si>
  <si>
    <t>Адреса фактично</t>
  </si>
  <si>
    <t>21029, Вінницька обл., місто Вінниця, ВУЛИЦЯ КЕЛЕЦЬКА, будинок 132, квартира 2</t>
  </si>
  <si>
    <t>21021 м. Вінниця, вул. 600-річчя, 17</t>
  </si>
  <si>
    <t>49008, Дніпропетровська обл., місто Дніпро, вулиця Робоча, будинок 24-а, блок 7</t>
  </si>
  <si>
    <t>690001, м. Запоріжжя, вул.Перемоги, 36А</t>
  </si>
  <si>
    <t>69019, м. Запоріжжя, вул.Перемоги, 36А</t>
  </si>
  <si>
    <t>юридична: 76002, Івано-Франківська обл., м. Івано-Франківськ, вул. Токарська, буд. 10А /
листування: 76018, Івано-Франківська обл., м. Івано-Франківськ, вул. Грюнвальдська, 14Б</t>
  </si>
  <si>
    <t>76018, Івано-Франківська обл., м. Івано-Франківськ, вул. Грюнвальдська, 14Б</t>
  </si>
  <si>
    <t xml:space="preserve"> м. 03115, місто Київ, вул. Відпочинку, будинок 11
адреса для листування: 03115, м. Київ, а/с 74</t>
  </si>
  <si>
    <t>03190 м. Київ, вул. Януша Корчака, 40</t>
  </si>
  <si>
    <t>50057, Дніпропетровська обл., м. Кривий Ріг, Майдан Праці, буд. 1</t>
  </si>
  <si>
    <t>25006, Кіровоградська обл., місто Кропивницький, ВУЛИЦЯ ПРЕОБРАЖЕНСЬКА, будинок 2 кабінет 612-613</t>
  </si>
  <si>
    <t>65062, Одеська обл., місто Одеса, вул.Генуезька, будинок 24Д</t>
  </si>
  <si>
    <t xml:space="preserve">79059, Львівська обл., місто Львів, ВУЛИЦЯ ЩУРАТА, будинок 11, квартира 20, але для листування використовувати фактичну 79014, м.Львів, вул.Личаківська, 217 </t>
  </si>
  <si>
    <t xml:space="preserve">79014, м.Львів, вул.Личаківська, 217 </t>
  </si>
  <si>
    <t>65074, Одеська обл., місто Одеса, ВУЛИЦЯ МАРШАЛА МАЛИНОВСЬКОГО, будинок 35/2, кв.11</t>
  </si>
  <si>
    <t>65107, Одеська обл., місто Одеса, ВУЛИЦЯ Канатна, 83, офіс 426 П</t>
  </si>
  <si>
    <t>33028, м.Рівне, вул. Чорновола 74Б</t>
  </si>
  <si>
    <t>адреса для листування: 61046, м. Харків, вул. Багратіона 6, оф. 219
в ЄДР: 61177, Харківська обл., м. Харків, просп. Слави, буд. 11, кв. 39</t>
  </si>
  <si>
    <t>61082, м. Харків, вул. Харківських Дивізій, 9/2</t>
  </si>
  <si>
    <t>29015, м.Хмельницький, вул.Старокостянтинівське шосе, 1/1</t>
  </si>
  <si>
    <t>29015, Хмельницька обл., місто Хмельницький, ПРОСПЕКТ МИРУ, будинок 82</t>
  </si>
  <si>
    <t>18028, Черкаська обл., м. Черкаси, вул. Рєпіна, буд. 12/1</t>
  </si>
  <si>
    <t>58018, Чернівецька обл., місто Чернівці, ВУЛИЦЯ ПОЛЕТАЄВА ФЕДОРА, будинок 11</t>
  </si>
  <si>
    <t>14021, Чернігівська обл., місто Чернігів, Вул. Харківська, будинок 8</t>
  </si>
  <si>
    <t>Україна, м. Київ, вул. Івана Мазепи, 11-а, к. 54.</t>
  </si>
  <si>
    <t>Україна, м. Київ, вул. Богдана Хмельницького, 62Б</t>
  </si>
  <si>
    <t>77556, Івано-Франківська обл, Калушський р-н, с. Шевченкове, вул. Попович Климентини, 7</t>
  </si>
  <si>
    <t>73013, м.Херсон, вул. Московська 5</t>
  </si>
  <si>
    <t>04080,  Київська область, м. Київ, вул. Межигірська, 87А, оф.2</t>
  </si>
  <si>
    <t>02140, м. Київ, просп. Миколи Бажана, буд. 26, кв. 284
адреса для листування: 02100 м. Київ, вул. Будівельників, 21/9, оф. 2</t>
  </si>
  <si>
    <t>м .Київ, вул.Будівельників 21/9 оф. 2</t>
  </si>
  <si>
    <t>88005, Закарпатська обл., м. Ужгород, вул. Станційна, буд. 14, кв. 13</t>
  </si>
  <si>
    <t>88005, Закарпатська обл., місто Ужгород, вул. Станційна, буд. 14, кв. 13</t>
  </si>
  <si>
    <t>01001, місто Київ, ВУЛИЦЯ ТРЬОХСВЯТИТЕЛЬСЬКА, будинок 4Б</t>
  </si>
  <si>
    <t>42400, Сумська обл., смт. Краснопілля, вул. Сумська, б. 19
Адреса для листування: 40022, м.Суми, провулок Інститутський, 1/1</t>
  </si>
  <si>
    <t>40022, м.Суми, провулок Інститутський, 1/1</t>
  </si>
  <si>
    <t>02093, м.Київ, ВУЛИЦЯ БОРИСПІЛЬСЬКА, будинок 26-3, квартира 180</t>
  </si>
  <si>
    <t>офіс- 02121,  м. Київ, вул. Світла 3-д, корпус 2, приміщення 513</t>
  </si>
  <si>
    <t>юридична: 11700, Житомирська обл., місто Новоград-Волинський, вул. Бобрової, буд. 3
листування: 11709, м. Новоград-Волинський, вул. Леваневського, 22</t>
  </si>
  <si>
    <t>11709, м. Новоград-Волинський, вул. Леваневського, 22</t>
  </si>
  <si>
    <t>вул. Лазурна 4-а, кв. 124,  м. Миколаїв, 54058</t>
  </si>
  <si>
    <t>вул. Набережна 27, м.Миколаїв, 54001</t>
  </si>
  <si>
    <t>04080, м. Київ, вул. Межигірська, 87Б (не для листування)</t>
  </si>
  <si>
    <t>04071, м. Київ, 
вул. Костянтинівська, 46-52, під’їзд 1, оф. 1 (для листування)</t>
  </si>
  <si>
    <t>36038, Полтавська обл., місто Полтава, Вул. СИМОНА ПЕТЛЮРИ, будинок 28-А</t>
  </si>
  <si>
    <t>36038, Полтавська обл., місто Полтава, ВУЛИЦЯ СИМОНА ПЕТЛЮРИ, будинок 28-А</t>
  </si>
  <si>
    <t>юр. адреса: м. Київ, вулиця Поліська 28Б, кв 109
адреса для листування: 04071 м. Київ вул Почайнинська 28 поверх 2</t>
  </si>
  <si>
    <t>04071 м. Київ вул Почайнинська 28 поверх 2</t>
  </si>
  <si>
    <t>04070, м.Київ, ВУЛИЦЯ ФРОЛІВСЬКА, будинок 3/34</t>
  </si>
  <si>
    <t>01011, м.Київ, вул. Рибальська, буд. 2, офіс 211</t>
  </si>
  <si>
    <t>м. Київ, вул. Боричів Узвіз 5, офіс 5</t>
  </si>
  <si>
    <t>54055, Миколаївська область, м. Миколаїв, вул. Потьомкінська, 138</t>
  </si>
  <si>
    <t>54055, Миколаївська область, м. Миколаїв, вул. Потьомкінська, 138б</t>
  </si>
  <si>
    <t>01025, м.Київ, вул.Стрітенська, буд. 7/9</t>
  </si>
  <si>
    <t>04212, м.Київ, ВУЛИЦЯ ТИМОШЕНКА, будинок 2-Б, квартира 123</t>
  </si>
  <si>
    <t xml:space="preserve">04073, м.Київ, ВУЛИЦЯ СИРЕЦЬКА, будинок 38
адреса для листування: 01010, м. Київ, І. Мазепи 3, кв.7 
</t>
  </si>
  <si>
    <t xml:space="preserve">01010, м. Київ, І. Мазепи 3, кв.7 
</t>
  </si>
  <si>
    <t xml:space="preserve"> 01021, м. Київ, ВУЛИЦЯ МИХАЙЛА ГРУШЕВСЬКОГО , будинок 28/2, нежиле приміщення 43</t>
  </si>
  <si>
    <t>04208, м. Київ, вулиця Василия Порика, б. 13 Б</t>
  </si>
  <si>
    <t>84333, Донецька обл. м. Краматорськ, вул. Магнітогорська 9, кім. 6-А</t>
  </si>
  <si>
    <t>03150, м.Київ, ВУЛИЦЯ ВЕЛИКА ВАСИЛЬКІВСЬКА, будинок 102, квартира 124</t>
  </si>
  <si>
    <t xml:space="preserve">02192, м. Киев, Дарницкий бульвар, буд 8 </t>
  </si>
  <si>
    <t>03115, м.Київ, ВУЛИЦЯ КРАМСЬКОГО, будинок 21
Адреса для листування: 03038, Україна, м.Київ, вул.Амосова, буд.5 (5 поверх)</t>
  </si>
  <si>
    <t>03038, Україна, м.Київ, вул.Амосова, буд.5 (5 поверх)</t>
  </si>
  <si>
    <t>Україна, 02093, місто Київ, вул.Поліська, будинок 28б, квартира 109</t>
  </si>
  <si>
    <t>Payer</t>
  </si>
  <si>
    <t>Регіон</t>
  </si>
  <si>
    <t>Global Fund 2021-2023</t>
  </si>
  <si>
    <t>GF C19RM 2021</t>
  </si>
  <si>
    <t xml:space="preserve">CDC </t>
  </si>
  <si>
    <t>Christian Aid</t>
  </si>
  <si>
    <t>Health Link</t>
  </si>
  <si>
    <t>RG</t>
  </si>
  <si>
    <t>UNOPS</t>
  </si>
  <si>
    <t>Total: 
ГРН
Альянс</t>
  </si>
  <si>
    <t>100 відсотків життя. Київський регіон</t>
  </si>
  <si>
    <t>100% LIFE Черкаси, БО</t>
  </si>
  <si>
    <t>Аванте, Львів</t>
  </si>
  <si>
    <t>Альтернатива, Одеса</t>
  </si>
  <si>
    <t>АЛЬЯНС.ГЛОБАЛ</t>
  </si>
  <si>
    <t>Благо, Харків</t>
  </si>
  <si>
    <t>Веселка, м.Одеса</t>
  </si>
  <si>
    <t>Вихід, Миколаїв</t>
  </si>
  <si>
    <t>Відродження нації, Чернігів</t>
  </si>
  <si>
    <t>Вікторія, Хмельницький</t>
  </si>
  <si>
    <t>Вінницьке обласне відділення ВБО "Всеукраїнська мережа ЛЖВ"</t>
  </si>
  <si>
    <t>Віра, Надія, Любов, м.Одеса</t>
  </si>
  <si>
    <t>Віртус, Дніпро</t>
  </si>
  <si>
    <t>ВОНА, м. Київ</t>
  </si>
  <si>
    <t>Все можливо, Мелітополь</t>
  </si>
  <si>
    <t>Всеукраїнська мережа людей, які живуть з ВІЛ/СНІД, м. Львів</t>
  </si>
  <si>
    <t>Гендер Зед, Запоріжжя</t>
  </si>
  <si>
    <t>ГО Майбутнє без СНІД, Першотравенськ</t>
  </si>
  <si>
    <t>Громадське здоров'я, м. Кривий Ріг</t>
  </si>
  <si>
    <t>Громадське здоров`я, Полтава</t>
  </si>
  <si>
    <t>Джерело здоров'я, м.Нікополь</t>
  </si>
  <si>
    <t>Діалог ПЛЮС, Дніпропетровськ</t>
  </si>
  <si>
    <t>Дорога життя Дніпро, Дніпро</t>
  </si>
  <si>
    <t>Дроп ін центр, м.Київ</t>
  </si>
  <si>
    <t>Ера Милосердя, Одеса</t>
  </si>
  <si>
    <t>Життя+, Одеса</t>
  </si>
  <si>
    <t>Запорізьке ОВ ВБО Всеукраїнська мережа ЛЖВ</t>
  </si>
  <si>
    <t>Захід Шанс, Івано-Франківськ</t>
  </si>
  <si>
    <t>Здорова планета</t>
  </si>
  <si>
    <t>Істок</t>
  </si>
  <si>
    <t>Кіровоградське ОВБО Всеукраїнська мережа ЛЖВ</t>
  </si>
  <si>
    <t>Когорта, Київ</t>
  </si>
  <si>
    <t>Комунальне підприємство "Криворізький психоневрологічний диспансер" ДОР</t>
  </si>
  <si>
    <t>КОНВІКТУС УКРАЇНА, Київ</t>
  </si>
  <si>
    <t>Мангуст, Херсон</t>
  </si>
  <si>
    <t>Херсонська</t>
  </si>
  <si>
    <t>Мережа 100 відсотків життя Дніпро</t>
  </si>
  <si>
    <t>Молодіжний центр розвитку</t>
  </si>
  <si>
    <t>Надія та Довіра, м.Київ</t>
  </si>
  <si>
    <t>Наша допомога, м.Слов’янськ</t>
  </si>
  <si>
    <t>Наше майбутнє, Рівне</t>
  </si>
  <si>
    <t>Незалежність, м.Вінниця</t>
  </si>
  <si>
    <t>Нова сім'я, Чернівці</t>
  </si>
  <si>
    <t>Оберіг, Донецьк</t>
  </si>
  <si>
    <t>Обрій</t>
  </si>
  <si>
    <t>Партнер, м.Одеса</t>
  </si>
  <si>
    <t>Парус, Харків</t>
  </si>
  <si>
    <t>Перспектива, Житомир</t>
  </si>
  <si>
    <t>Повернення до життя, Знам'янка</t>
  </si>
  <si>
    <t>Промiнь, Жовті Води</t>
  </si>
  <si>
    <t>Ресурси життя, м.Нікополь</t>
  </si>
  <si>
    <t>Ромський жіночій фонд "Чіріклі"</t>
  </si>
  <si>
    <t>Світло Надії, Полтава</t>
  </si>
  <si>
    <t>Синергія душ, Дніпро</t>
  </si>
  <si>
    <t>Соціальні ініціативи з охорони праці та здоров’я, м.Київ</t>
  </si>
  <si>
    <t>Сподівання, Запоріжжя</t>
  </si>
  <si>
    <t>ТБ ЛЮДИ УКРАЇНИ, Київ</t>
  </si>
  <si>
    <t>Товариство Червоного Хреста України, Волинь</t>
  </si>
  <si>
    <t>Волинська</t>
  </si>
  <si>
    <t>Товариство Червоного Хреста України, Донецька обл.</t>
  </si>
  <si>
    <t>Товариство Червоного Хреста України, Закарпаття</t>
  </si>
  <si>
    <t>Товариство Червоного Хреста України, Київська обл.</t>
  </si>
  <si>
    <t>Київська</t>
  </si>
  <si>
    <t>Товариство Червоного Хреста України, Миколаївська обл.</t>
  </si>
  <si>
    <t>Товариство Червоного Хреста України, Херсонська обл.</t>
  </si>
  <si>
    <t>УКРАЇНСЬКИЙ ІНСТИТУТ ЗДОРОВ’Я ЧОЛОВІКІВ, СОЦІАЛЬНОГО РОЗВИТКУ ТА ІННОВАЦІЙ ГРОМАДСЬКОГО ЗДОРОВ’Я</t>
  </si>
  <si>
    <t>Харківське ОВБО Всеукраїнська мережа ЛЖВ</t>
  </si>
  <si>
    <t>Хмельницьке ВБО "Всеукраїнська мережа ЛЖВ"</t>
  </si>
  <si>
    <t>Центр пiдтримки сiм ї, Новомосковськ</t>
  </si>
  <si>
    <t>Час Життя Плюс</t>
  </si>
  <si>
    <t>Час Життя, Миколаїв</t>
  </si>
  <si>
    <t>Чернігівське  ОВ ВБО Всеукраїнська мережа ЛЖВ</t>
  </si>
  <si>
    <t>Шанс, Луцьк</t>
  </si>
  <si>
    <t>Шанс, Суми</t>
  </si>
  <si>
    <t>Шлях до дому, м.Одеса</t>
  </si>
  <si>
    <t>Юнітус, Миколаїв</t>
  </si>
  <si>
    <t xml:space="preserve">Total: </t>
  </si>
  <si>
    <t>НоMер ПК</t>
  </si>
  <si>
    <t>Module</t>
  </si>
  <si>
    <t>Intervention</t>
  </si>
  <si>
    <t>Інтервенція (англ)</t>
  </si>
  <si>
    <t>Інтервенція (укр)</t>
  </si>
  <si>
    <t>Регіон реалізації</t>
  </si>
  <si>
    <t>ДКВСУ чи свобода</t>
  </si>
  <si>
    <t>Тип грантової процедури</t>
  </si>
  <si>
    <t>одиниця виміру</t>
  </si>
  <si>
    <t>Юніт-кост 2021, грн</t>
  </si>
  <si>
    <t>Юніт-кост 2022, грн</t>
  </si>
  <si>
    <t>Юніт-кост 2023, грн</t>
  </si>
  <si>
    <t>Відповідальний</t>
  </si>
  <si>
    <t>Коментар</t>
  </si>
  <si>
    <t>Коментар 2</t>
  </si>
  <si>
    <t>October 2022 Re-Planning Comments</t>
  </si>
  <si>
    <t xml:space="preserve">Ensure timely transportation of sputum to higher level laboratories for bacteriological testing for tuberculosis. </t>
  </si>
  <si>
    <t>SR-UKR-AUN</t>
  </si>
  <si>
    <t>MDR-TB</t>
  </si>
  <si>
    <t>Case detection and diagnosis (MDR-TB)</t>
  </si>
  <si>
    <t>Забезпечити своєчасне транспортування мокроти до лабораторій вищого рівня для бактеріологічних досліджень на туберкульоз.</t>
  </si>
  <si>
    <t>свобода</t>
  </si>
  <si>
    <t>Конкурс</t>
  </si>
  <si>
    <t>проект</t>
  </si>
  <si>
    <t>Савченко</t>
  </si>
  <si>
    <t xml:space="preserve">Загальний бюджет збільшено до 212160 грн </t>
  </si>
  <si>
    <t>Improving treatment results in patients with drug resistant forms of TB through the formation of adherence and expanding access to social services</t>
  </si>
  <si>
    <t>Treatment (MDR-TB)</t>
  </si>
  <si>
    <t>Формування прихильності до лікування та соціальний супровід  пацієнтів з медико-резистентним туберкульозом</t>
  </si>
  <si>
    <t>відповідно до розподілу з Альянсом</t>
  </si>
  <si>
    <t>ТЗ</t>
  </si>
  <si>
    <t>Скіргіко</t>
  </si>
  <si>
    <t>без змін, як заплановано на 2023</t>
  </si>
  <si>
    <t>на момент оголошенняТЗ видана часткова квота</t>
  </si>
  <si>
    <t>Формування прихильності до лікування та соціальний супровід  пацієнтів з медико-резистентним туберкульозом (перехідні клієнти)</t>
  </si>
  <si>
    <t>Загальний бюджет на 2023 рік складає 15 639 852 грн. Пораховано в привязці до людино-місяців, які залишилися до фактичного завершення супроводу. Юніт-кост в грн, діючий у 2022 році. для кожного регіону цифри свої. Деталі - див. в файлі, пересланому електронною поштою</t>
  </si>
  <si>
    <t>Covering patients with sensitive TB by integrated social services with the formation of adherence to the treatment</t>
  </si>
  <si>
    <t>Формування прихильності до лікування та  соціальнийо супровід пацієнтам з чутливим туберкульозом.</t>
  </si>
  <si>
    <t>квата ЦГЗ більша. на момент оголошенняТЗ видана часткова квота</t>
  </si>
  <si>
    <t>Формування прихильності до лікування та  соціальнийо супровід пацієнтам з чутливим туберкульозом (перехідні клієнти)</t>
  </si>
  <si>
    <t>Загальний бюджет на 2023 рік складає 6 550 296 грн. Пораховано в привязці до людино-місяців, які залишилися до фактичного завершення супроводу. Юніт-кост - в гривнях, діючий в 2022 році. для кожного регіону цифри свої. Деталі - див. в файлі, пересланому електронною поштою</t>
  </si>
  <si>
    <t>Provision of comprehensive supportive services to children and adolescents with TB</t>
  </si>
  <si>
    <t>Надання комплексної медико-соціальної підтримки та психологічної допомоги дітям та підліткам з ТБ - "СОЦІАЛЬНА НЯНЯ"</t>
  </si>
  <si>
    <t>Вся Україна з вибором по факту кількості областей відповідно до загальної квоти та якості поданих заявок</t>
  </si>
  <si>
    <t>Ісмагілова</t>
  </si>
  <si>
    <t xml:space="preserve">
</t>
  </si>
  <si>
    <t>Formation of adherence to TB treatment and psychosocial support for prisoners with multidrug-resistant TB</t>
  </si>
  <si>
    <t>Формування прихильності до лікування  та психосоціальна підтримка ув'язнених з мультирезистентним туберкульозом</t>
  </si>
  <si>
    <t xml:space="preserve">на базі всіх спеціалізованих протитуберкульозних лікарень ДКВСУ </t>
  </si>
  <si>
    <t>ДКВСУ</t>
  </si>
  <si>
    <t>Шумило</t>
  </si>
  <si>
    <t>на момент оголошенняТЗ видана часткова квота (діяльність лише в двох областях) - 300 клієнтів з 500. Інші (200 кл.) в резерв</t>
  </si>
  <si>
    <t>Formation of adherence to TB treatment and psychosocial support for prisoners with sensitive TB</t>
  </si>
  <si>
    <t>Формування прихильності до лікування та психосоціальна підтримки ув'язнених із чутливим туберкульозом</t>
  </si>
  <si>
    <t>на момент оголошенняТЗ видана часткова квота (діяльність лише в двох областях) - 170 клієнтів з 500. Інші (330 кл.) в резерв</t>
  </si>
  <si>
    <t>Ensuring continuation of
anti-tuberculosis
treatment among persons
who are released from prisons</t>
  </si>
  <si>
    <t>Забезпечення продовження
протитуберкульозного
лікування особами,
які звільнені з місць позбавлення волі</t>
  </si>
  <si>
    <t xml:space="preserve">Регіони, де розташовані спеціалізовані протитуберкульозні лікарні ДКВСУ </t>
  </si>
  <si>
    <t>на момент оголошенняТЗ видана часткова квота (діяльність лише в двох областях) - 80 клієнтів з 200. Інші (120 кл.) в резерв</t>
  </si>
  <si>
    <t>Pilot project: psychosocial support (non-medical care) for people with advanced drug-resistant forms of TB receiving palliative care</t>
  </si>
  <si>
    <t>PILOT PROJECT: Psycho-social support (non-medical care) of patients with drug-resisnant TB who are on palliative treatment, in Kyiv and Dnipropetrovsk regions</t>
  </si>
  <si>
    <t>Психо-соціальна підтримка та немедичний догляд хворих на мультирезистентний туберкульоз, які перебувають на паліативному лікуванні.</t>
  </si>
  <si>
    <t>Work with clients from high-risk groups for active TB, including HIV-positive and children under 5 y.o., and cover them with the controlled TB preventive treatment, including Rif regimen</t>
  </si>
  <si>
    <t>TB care and prevention</t>
  </si>
  <si>
    <t>Prevention (TB care and prevention)</t>
  </si>
  <si>
    <t xml:space="preserve">Робота з клієнтами з груп високого ризику щодо активного туберкульозу ( включаючи ВІЛ-інфікованих) та охоплення їх профілактичним лікуванням ТБ </t>
  </si>
  <si>
    <t>Вінницька, Дніпропетровська, Житомирська, Запорізька, Івано-Франківська, Кіровоградська, Луганська, Хмельницька, Черкаська, Чернівецька, Чернігівська області, Полтавська, Тернопільська, Сумська та м. Київ</t>
  </si>
  <si>
    <t>Розподілено 2440 клієнтів. В резерві 100 на Луганськ</t>
  </si>
  <si>
    <t>Formation of adherence to chemoprophylactic
TB treatment and support of  clients within penitentiary institutions.</t>
  </si>
  <si>
    <t>Формування прихильності до хіміопрофілактики туберкульозу у ВІЛ-позитивних осіб, які перебувають в установах ДКВСУ</t>
  </si>
  <si>
    <t xml:space="preserve">вся Україна </t>
  </si>
  <si>
    <t>Під ? Реалізація в Чернігові. Роздано 502 клієнтів з 1000 запланованих</t>
  </si>
  <si>
    <t>Behavioral interventions aimed at changing risky behavior among prisoned IDUs  in penitentiary institutions</t>
  </si>
  <si>
    <t>Prevention</t>
  </si>
  <si>
    <t>Behavior change interventions</t>
  </si>
  <si>
    <t>Поведінкові втручання, спрямовані на зміну ризикованої поведінки серед ув'язнених СІН в установах ДКВСУ</t>
  </si>
  <si>
    <t>Національний проект</t>
  </si>
  <si>
    <t>Behavioral interventions aimed at changing risky behavior among prisoners in penitentiary institutions (preparation of volunteers-social workers from among prisoners)</t>
  </si>
  <si>
    <t>Підготовка соціальних працівників з числа ув'язнених для надання послуг соціального супроводу в установах ДКВСУ</t>
  </si>
  <si>
    <t>Precontact prophylaxis (PrEP) in the State Criminal-Executive Office of Ukraine institutions</t>
  </si>
  <si>
    <t>Pre-exposure prophylaxis</t>
  </si>
  <si>
    <t>Доконтактна профілактика (PrEP) в установах Державної кримінально-виконавчої служби України</t>
  </si>
  <si>
    <t>Визначить ДКВСУ</t>
  </si>
  <si>
    <t>Ensuring the participation of  released from prisons in OST programs, harm reduction and resocialization</t>
  </si>
  <si>
    <t>Harm reduction interventions for drug use</t>
  </si>
  <si>
    <t>Забезпечення участі звільнених з місць позбавлення волі в програмах ЗПТ, зменшення шкоди та ресоціалізація</t>
  </si>
  <si>
    <t>Medical and social support (MSS) for hard-to-reach clients (small towns, towns, villages) in the context of HIV / TB / HCV</t>
  </si>
  <si>
    <t>Treatment, care and support</t>
  </si>
  <si>
    <t>Differentiated ART service delivery and HIV care</t>
  </si>
  <si>
    <t>Медична та соціальна підтримка  важкодоступних клієнтів (малі міста, селища) у контексті ВІЛ / ТБ / ВГС</t>
  </si>
  <si>
    <t>не-ПЕПФАР регіони</t>
  </si>
  <si>
    <t>Панделі</t>
  </si>
  <si>
    <r>
      <rPr>
        <sz val="11"/>
        <color rgb="FFFF0000"/>
        <rFont val="Calibri"/>
        <family val="2"/>
        <charset val="204"/>
      </rPr>
      <t xml:space="preserve">
</t>
    </r>
    <r>
      <rPr>
        <sz val="11"/>
        <color rgb="FF0070C0"/>
        <rFont val="Calibri"/>
        <family val="2"/>
        <charset val="204"/>
      </rPr>
      <t>Є</t>
    </r>
  </si>
  <si>
    <t>на момент оголошенняТЗ видана часткова квота 1700 з 1800 клієнтів. 100 осіб (Луганськ) в резерві</t>
  </si>
  <si>
    <t>Counseling and support of HIV testing in the  State Criminal-Executive Office of Ukraine institutions</t>
  </si>
  <si>
    <t>Differentiated HIV Testing Services</t>
  </si>
  <si>
    <t>Facility-based testing</t>
  </si>
  <si>
    <t>Консультування та супровід  тестування на ВІЛ в установах ДКВСУ</t>
  </si>
  <si>
    <t>Provision of non-medical care services to HIV-positive people.</t>
  </si>
  <si>
    <t>Надання послуг немедичного догляду ВІЛ-позитивним особам.</t>
  </si>
  <si>
    <t>вся Україна</t>
  </si>
  <si>
    <t>Лелюх</t>
  </si>
  <si>
    <t>видано 4203 від загальної квоти. В резерві 200 клієнтів</t>
  </si>
  <si>
    <t>Medical and social support for HIV + children and children affected by the HIV / AIDS epidemic</t>
  </si>
  <si>
    <t>Медико-соціальний супровід ВІЛ+ дітей та дітей, яких торкнулася епідемія ВІЛ/СНІДу</t>
  </si>
  <si>
    <t>Дніпро, Київ, Кривий Ріг, Одеса, Клуб "Світанок"</t>
  </si>
  <si>
    <t>Medical and social support for HIV + children in AIDS centers</t>
  </si>
  <si>
    <t>Медико-соціальний супровід ВІЛ-інфікованих дітей на базі НДСЛ "ОХМАТДИТ" та центрів СНІДу</t>
  </si>
  <si>
    <t>національний проект</t>
  </si>
  <si>
    <t>Необхідно обладнати місця для ВІЛ+ дітей в бомбосховищі ОХМАТДИТ. Загальна необхідна додаткова сума 624 тисяч грн. Розрахунок в закладці по юніт-костам.</t>
  </si>
  <si>
    <t>Representation the interests of HIV+ persons in order to socialize them and to develop adherence to treatment and medical services.</t>
  </si>
  <si>
    <t>Counseling and psycho-social support</t>
  </si>
  <si>
    <t>Представництво інтересів ВІЛ-позитивних осіб з метою їх соціалізації, забезпечення прихильності до лікування ВІЛ та медичних послуг.</t>
  </si>
  <si>
    <t>розподілено 2650. В резерві 350 клієнтів</t>
  </si>
  <si>
    <t>A comprehensive model for dealing with clients who lost to follow-up in non-PEPFAR regions</t>
  </si>
  <si>
    <t>Комплексна модель роботи з ВІЛ-позитивними пацієнтами, які випали з-під медичного спостереження</t>
  </si>
  <si>
    <t>розподілено 2380. В резерві 218 клієнтів</t>
  </si>
  <si>
    <t>Accompaniment, care and support of adult high complexity patients with HIV from all regions of Ukraine in the Clinic of the Institute of Epidemiology and Infectious Diseases. L.V. Gromashevsky based on an integrated multidisciplinary approach.</t>
  </si>
  <si>
    <t>Супровід, догляд та підтримка дорослих пацієнтів з високою складністю перебігу  ВІЛ-інфекції на базі клініки Інституту епідеміології та інфекційних хвороб ім. Л.В. Громашевського на основі комплексного мультидисциплінарного підходу.</t>
  </si>
  <si>
    <t>Development of adherence to antiretroviral treatment and psychosocial support for HIV-positive prisoners (penitentiary system) in non-PEPFAR regions</t>
  </si>
  <si>
    <t>Розвиток прихильності до антиретровірусного лікування та психосоціальна підтримка ВІЛ-позитивних ув'язнених</t>
  </si>
  <si>
    <t>Діяльність необхідно розширити на 1500 осіб додатково. Розрахунок в Assumptions</t>
  </si>
  <si>
    <t>COVID-19</t>
  </si>
  <si>
    <t>Mitigation for HIV programs</t>
  </si>
  <si>
    <t>Establishment of remote counseling points for detainees</t>
  </si>
  <si>
    <t>Створення умов для організації та надання послуг ВІЛ-позитивним ув язненим в дистанційному форматі в установах ДКВСУ</t>
  </si>
  <si>
    <t>Установи в регіонах реалізації 128М</t>
  </si>
  <si>
    <t>Тюрьма</t>
  </si>
  <si>
    <t>C19RM</t>
  </si>
  <si>
    <t>Об'єднання з основним напрямом</t>
  </si>
  <si>
    <t>Квота ДКВС на 35 кабінетів. В резерві 8 шт.</t>
  </si>
  <si>
    <t>Preparing for release for HIV-positive persons in penitentiary institutions who are preparing to be released, to ensure continuity of treatment after release (SPS).</t>
  </si>
  <si>
    <t>Підготовка до звільнення ВІЛ-позитивних засуджених для забезпечення безперервності лікування .</t>
  </si>
  <si>
    <t>не-ПЕПФАР регіони (окрім Луганської)</t>
  </si>
  <si>
    <t>Діяльність повязана з 128М і її необхідно розширити на ПЕПФАР регіони (додати 200 клієнтів в странове охоплення)</t>
  </si>
  <si>
    <t>Documentation and information on adverse reactions to ARVs and TB drugs</t>
  </si>
  <si>
    <t>Treatment monitoring - ARV toxicity</t>
  </si>
  <si>
    <t xml:space="preserve">Документування побічних реакцій внаслідок прийому АРТ та протитуберкульозної терапії </t>
  </si>
  <si>
    <t>Шеремета</t>
  </si>
  <si>
    <t>Розподілено 4740. В резерві 700 кейсів</t>
  </si>
  <si>
    <t>Diagnostics, effective referral for dispensary care and treatment, social support for HCV treatment among PLWHA from KPs (except IDUs)</t>
  </si>
  <si>
    <t>Prevention and management of co-infections and co-morbidities (Treatment, care and support)</t>
  </si>
  <si>
    <t xml:space="preserve">Діагностика, забезпечення ефективної переадресації для диспансеризації та отримання лікування, соціальний супровід лікування ВГС у представників ЛЖВ з ключових груп </t>
  </si>
  <si>
    <t>Волинська, Закарпатська, Івано-Франківська, Полтавська, Сумська, Тернопільська, Харківська, Чернівецька.</t>
  </si>
  <si>
    <t>Provision of diagnostics and social support for HCV treatment in the institutions of the SPS</t>
  </si>
  <si>
    <t>Забезпечення діагностики та соціальний супровід лікування ВГС в установах ДКВСУ</t>
  </si>
  <si>
    <t>вся Україна (окрім Чернігівської та Луганської)</t>
  </si>
  <si>
    <t>138M1</t>
  </si>
  <si>
    <t>Забезпечення діагностики та соціальний супровід лікування ВГС в установах ДКВСУ (перехідні клієнти)</t>
  </si>
  <si>
    <t>Газізова</t>
  </si>
  <si>
    <t>Необхідно у 2023 році довести 300 перехідних клієнтів, які не завершать лікування у 2022 бо препарати надійшли надто піздно. Юніт-кост - за мінусом однієї ПЦР. Розрахунок в закладці Assumption</t>
  </si>
  <si>
    <t>Support for the All-Ukrainian Hotline on HIV / AIDS, Tuberculosis</t>
  </si>
  <si>
    <t>Removing human rights and gender related barriers to TB services</t>
  </si>
  <si>
    <t>Legal aid and services</t>
  </si>
  <si>
    <t>Підтримка Всеукраїнської гарячої лінії з питань ВІЛ / СНІДу, туберкульозу</t>
  </si>
  <si>
    <t>ЛМ</t>
  </si>
  <si>
    <t>У звязку з війною величезний попит на Гарячу ліню. У 2023 році бюджет треба мати на рівні 2021 року</t>
  </si>
  <si>
    <t>Reducing human rights-related barriers to HIV/TB services</t>
  </si>
  <si>
    <t>Community mobilization and advocacy (HIV/TB)</t>
  </si>
  <si>
    <t>Advocacy of increase of the subjects authorized to conduct medical treatment and medical examination of PLWH and TB patients, in particular primary care physicians and private providers</t>
  </si>
  <si>
    <t>Адвокація розширення суб'єктів, уповноважених проводити лікування та медичний нагляд ЛЖВ та пацієнтів з ТБ, зокрема лікарів первинної ланки надання медичної допомоги та приватних постачальників</t>
  </si>
  <si>
    <t>Переформатування адвокаційних активностей</t>
  </si>
  <si>
    <t>Advocacy to expand programs and provide budgetary funding for public health services for convicted and released persons</t>
  </si>
  <si>
    <t>RSSH: Community systems strengthening</t>
  </si>
  <si>
    <t>Community-led advocacy and research</t>
  </si>
  <si>
    <t xml:space="preserve">Адвокація розширення програм та забезпечення бюджетного фінансування служб охорони здоров'я для засуджених та звільнених осіб
</t>
  </si>
  <si>
    <t>бюджет на рівні 2022р, без змін</t>
  </si>
  <si>
    <t>Advocating the right to legal aid of key group representatives by formalizing procedures for legal assistance to people who are vulnerable to HIV at the administration level of the system of protection guaranteed by the state.</t>
  </si>
  <si>
    <t>Improving laws, regulations and polices relating to HIV and HIV/TB</t>
  </si>
  <si>
    <t xml:space="preserve">Адвокація права на безоплатну правову допомогу представників ключових груп шляхом формалізації процедур надання такої допомоги вразливим до ВІЛ групам на рівні адміністрації системи гарантованого державою захисту.
</t>
  </si>
  <si>
    <t>Community-led monitoring of the activities of the Centralized Procurement Organization on centralized procurements of medical goods and improving national procurement system efficiency</t>
  </si>
  <si>
    <t>Моніторинг представниками спільноти діяльності Централізованої закупівельної організації з централізованої закупівлі медичних товарів та підвищення ефективності національної закупівельної системи</t>
  </si>
  <si>
    <t>Developing the capacity and leadership of the community of adolescents  living with HIV, advocacy and legislative changes</t>
  </si>
  <si>
    <t>Social mobilization, building community linkages and coordination</t>
  </si>
  <si>
    <t>Розвиток потенціалу та лідерства спільноти підлітків, які живуть з ВІЛ, адвокаційна діяльність та законодавчі зміни</t>
  </si>
  <si>
    <t>Рачинська</t>
  </si>
  <si>
    <t>Development, support and strengthening of mechanisms of public control over observance of the rights of persons vulnerable to HIV in the places of deprivation of liberty and in the process of democratic changes in the reforms of the prison system of Ukraine by representatives of the community of convicted and released persons</t>
  </si>
  <si>
    <t>Community-based monitoring</t>
  </si>
  <si>
    <t>Розробка, підтримка та посилення механізмів громадського контролю за дотриманням прав осіб, уразливих до ВІЛ у місцях позбавлення волі та в процесі демократичних змін у реформах тюремної системи України представниками громади засуджених та звільнених осіб</t>
  </si>
  <si>
    <t xml:space="preserve">Involvement of different religious communities and organizations through cooperation with All-Ukrainian Council of Churches and Religious Organizations (AUCCRO) in HIV prevention and treatment through combating stigma and discrimination of HIV-positive people and representatives of vulnerable communities. </t>
  </si>
  <si>
    <t>Мобілізація релігійних громад та організацій для подолання стигми і дискримінації людей, які живуть з ВІЛ та представників ключових груп.</t>
  </si>
  <si>
    <t>Legal support, information, redirection, consultation and representation of key group interests.</t>
  </si>
  <si>
    <t>HIV and HIV/TB-related legal services</t>
  </si>
  <si>
    <t>Юридичний супровід, інформування, перенаправлення, консультації та представництво інтересів людей, які живуть ВІЛ, ТБ та представників уразливих груп населення.</t>
  </si>
  <si>
    <t>Уся Україна</t>
  </si>
  <si>
    <t>Ігнатушина М.</t>
  </si>
  <si>
    <t>Діяльність без змін</t>
  </si>
  <si>
    <t>Gender-based violence prevention and post violence care (COVID-19)</t>
  </si>
  <si>
    <t>Legal support to vulnerable populations in cases of violation of their rights related to COVID-19</t>
  </si>
  <si>
    <t>Юридичний супровід, інформування, перенаправлення, консультації та представництво інтересів людей, які живуть ВІЛ, ТБ та представників уразливих груп населення, пов’язаних із COVID-19</t>
  </si>
  <si>
    <t>Reducing stigma and discrimination against tuberculosis among healthcare professionals</t>
  </si>
  <si>
    <t>Stigma and discrimination reduction (TB)</t>
  </si>
  <si>
    <t>Зниження рівня стигматизації та дискримінації стосовно паціенктів з ТБ серед медичних працівників</t>
  </si>
  <si>
    <t>Reduction of stigma and discrimination by employees of the State Penitentiary Service of Ukraine and probation authorities in relation to the vulnerable group in prisons or those released from places of imprisonment</t>
  </si>
  <si>
    <t>Stigma and discrimination reduction (HIV/TB)</t>
  </si>
  <si>
    <t xml:space="preserve">Зниження стигми та дискримінації працівників Державної пенітенціарної служби України та органами пробації стосовно групи вразливих в'язниць або осіб, звільнених з місць позбавлення волі.
</t>
  </si>
  <si>
    <t>Sex-workers community capacity strengthening</t>
  </si>
  <si>
    <t>Посилення лідерської ролі в адвокації для розвитку спроможності спільноти секс-працівників_ць на національному та регіональному рівні для забезпечення стійкості послуг з ВІЛ</t>
  </si>
  <si>
    <t xml:space="preserve">Рачинська </t>
  </si>
  <si>
    <t>Spreading the use of electronic tools for community-based TB monitoring (OneImpact)</t>
  </si>
  <si>
    <t xml:space="preserve">Поширення використання електронних інструментів для моніторингу ситуації з туберкульозом на базі громади, використовуючи можливості мобільного додатку OneImpact
</t>
  </si>
  <si>
    <t xml:space="preserve">Strengthening advocacy leadership and develop the capacity of PWID community at the national and regional level to ensure sustainable HIV services </t>
  </si>
  <si>
    <t>Посилення лідерської ролі в адвокації для розвитку спроможності спільноти ЛВІН на національному та регіональному рівні для забезпечення стійкості послуг з ВІЛ</t>
  </si>
  <si>
    <t>COVID-19 CSS: Community-based organizations institutional capacity building</t>
  </si>
  <si>
    <t>Supporting the organizations formed or run by PWUD community</t>
  </si>
  <si>
    <t>обьєднання з основним 154М напрямком</t>
  </si>
  <si>
    <t>COVID-19 CSS: Community-led advocacy and research</t>
  </si>
  <si>
    <t>TA Collection of gender data on the access of PWUD community to medical and harm reduction services for the purpose of creating gender-sensitive programme services</t>
  </si>
  <si>
    <t>обьєднання з основним 154М напрямком (якщо є кошти)</t>
  </si>
  <si>
    <t>Strengthening advocacy leadership and develop the capacity of TB community at the national and regional level to ensure sustainable TB services</t>
  </si>
  <si>
    <t>Посилення лідерської ролі в адвокації для розвитку спроможності ТБ спільноти на національному та регіональному рівні для забезпечення стійкості послуг з туберкульозу</t>
  </si>
  <si>
    <t>Strengthening advocacy leadership and developing the capacity of the community of women living with HIV at the national and regional level to ensure sustainable HIV services</t>
  </si>
  <si>
    <t>Посилення лідерської ролі в адвокації для розвитку спроможності спільноти жінок, які живуть з ВІЛ на національному та регіональному рівні для забезпечення надання стійкості послуг з ВІЛ</t>
  </si>
  <si>
    <t>Strengthening the capacity of MSM at the national and regional level</t>
  </si>
  <si>
    <t>Посилення лідерської ролі в адвокації для розвитку спроможності спільноти ЧСЧ на національному та регіональному рівні для забезпечення стійкості послуг з ВІЛ</t>
  </si>
  <si>
    <t>Strengthening the role and capacity of the community of ex-prisoners in protecting their rights at national and regional levels, and enhancing the community's impact on re-socialization policies</t>
  </si>
  <si>
    <t>Посилення ролі та  розвитку спроможності спільноти колишніх ув’язнених у відстоюванні  прав на національному та регіональному рівні для посилення впливу спільноти на політики з ресоціалізації.</t>
  </si>
  <si>
    <t>Respond to human rights and gender related barriers to services</t>
  </si>
  <si>
    <t>Advocacy for the rights of prisoners and released people to receive qualified medical care in civilian medical institutions </t>
  </si>
  <si>
    <t>обьєднання з основним 158М напрямком (якщо взагалі є кошти)</t>
  </si>
  <si>
    <t>Support in developing a patient-centered model of the health care system for people in prisons and detention centers of the State Penal Enforcement Service of Ukraine (State Penitentionary Service).</t>
  </si>
  <si>
    <t>RSSH: Health sector governance and planning</t>
  </si>
  <si>
    <t>National health sector strategies and financing</t>
  </si>
  <si>
    <t>Розбудова пацієнторієнтованої моделі системи охорони здоров’я для людей, які перебувають в установах виконання покарань та слідчих ізоляторах Державної кримінально-виконавчої служби України (далі – ДКВС).</t>
  </si>
  <si>
    <t>необхідно посилити реінтеграцію пенітенціарної медицини до загальної державної медичної системи</t>
  </si>
  <si>
    <t>Support of the activities of two national paralegal networks: MSM/TG and adolescents affected by the HIV epidemic and expanding the paralegal network to other communities</t>
  </si>
  <si>
    <t>Створення національного хабу надавачів параюридичної допомоги які є представниками уразливими до ВІЛ груп.</t>
  </si>
  <si>
    <t>частково переформатовано, кошти 135 тис грн., що були заплановані на офлайн заходи, переплановано на Надання психологічної допомоги представникам спільнот, які отримали психологічну травму під час війни - оплата роботи психолога (цього року це був компонент 307М)</t>
  </si>
  <si>
    <t>161M</t>
  </si>
  <si>
    <t>Provide legal information to representatives of key groups through the Legal Bot</t>
  </si>
  <si>
    <t xml:space="preserve">Provide legal information to representatives of key groups through the Legal Bot
</t>
  </si>
  <si>
    <t xml:space="preserve">Надання юридичної інформації людям, які живуть ВІЛ, ТБ та представникам уразливих груп населення за допомогою Юридичного боту </t>
  </si>
  <si>
    <t>Свобода</t>
  </si>
  <si>
    <t>пряма діяльність</t>
  </si>
  <si>
    <t>Бюджетною лінією 8 (Модуль: Зниження бар’єрів, пов’язаних з правами людини, доступу до  послуг ВІЛ / ТБ; Інтервенція: Юридичні послуги, пов’язані із ВІЛ та ВІЛ / ТБ) передбачено фінансування активності «Надання юридичної інформації людям, які живуть з ВІЛ, ТБ та представникам уразливих до ВІЛ груп населення за допомогою Юридичного боту».
Відповідна активність передбачена як активність, що буде реалізована БО «100 ВІДСОТКІВ ЖИТТЯ» безпосередньо. Але реалізація цієї активності тісно пов’язана із реалізацією програмного компоненту 148 М «Юридичний супровід, інформування, перенаправлення, консультації та представництво інтересів людей, які живуть з ВІЛ, ТБ та представників уразливих до ВІЛ груп населення», фінансування якого передбачено бюджетними лініями 312, 313, 314. 
Активностями по лінії Юридичного боту передбачаєть, в тому числі, надання юридичних консультацій за допомогою сучасних технологій без особистого контакту клієнта та юриста. Питання, які найчастіше виникають у клієнтів, які звертаються за юридичними консультаціями у рамках Проекту з юридичного супроводу, мають бути втілені, як питання-відповіді у Юридичному боті. Відповідно для більш ефективного практичного впровадження цієї активності виникає необхідність її реалізації паралельно та у поєднанні із реалізацією програмного компоненту 148М «Юридичний супровід, інформування, перенаправлення, консультації та представництво інтересів людей, які живуть з ВІЛ, ТБ та представників уразливих до ВІЛ груп населення». 
У зв’язку з викладеним вище, виникає необхідність виділення цієї діяльності у окремий субгрант, умовою якого є обрання одного виконавця на реалізацію двох тісно пов’язаних активностей, а саме: програмного компоненту «Юридичний супровід, інформування, перенаправлення, консультації та представництво інтересів людей, які живуть з ВІЛ, ТБ та представників уразливих до ВІЛ груп населення» та програмного компоненту «Надання юридичної інформації людям, які живуть з ВІЛ, ТБ та представникам уразливих до ВІЛ груп населення за допомогою Юридичного боту». Такий підхід забезпечить найбільш  раціональне використання виділених коштів та найбільш ефективний спосіб реалізації активності «Надання юридичної інформації людям, які живуть з ВІЛ, ТБ та представникам уразливих до ВІЛ груп населення за допомогою Юридичного боту».</t>
  </si>
  <si>
    <t>діяльність без змін</t>
  </si>
  <si>
    <t>Advocacy and technical support for a sustainable HIV and TB response at the regional level</t>
  </si>
  <si>
    <t>Адвокація та технічна підтримка сталого реагування на ВІЛ та ТБ на регіональному рівні</t>
  </si>
  <si>
    <t>не менше 10 регіонів України. Заявник має обґрунтувати вибір регіону із посиланням на джерела епідеміологічних даних або інші релевантні дані.</t>
  </si>
  <si>
    <t xml:space="preserve">Total budget of interventions for 2021-2023 - 330 130 USD, which includes:
Y2021 -$146 130
Advocacy (trainings, workshops, conferences, exchange visits  etc.)-$27,356
Technical and expert assistance (experts and consultants involved)-$67,480
Administrative expenses (management, office maintenance, bank expenses, etc.) – $29,226
Y2022 -$114 000
Advocacy (trainings, workshops, conferences, exchange visits  etc.)-$20,000
Technical and expert assistance (experts and consultants involved)-$71,200
Administrative expenses (management, office maintenance, bank expenses, etc.) – $22,800
Y2023-$70 000
Advocacy (trainings, workshops, conferences, exchange visits  etc.)-$14,000
Technical and expert assistance (experts and consultants involved)-$42,000
Administrative expenses (management, office maintenance, bank expenses, etc.) – $14,000"
</t>
  </si>
  <si>
    <t xml:space="preserve">The implementation of this component in the subgrant format is justified by the fact that the intervention is based on a successful model of activity that the Network has developed during the current round of grant implementation. 
This model was first piloted in 2014 and since then has greatly increased the amount of funding allocated locally to cover expenditure on HIV and TB. Since 2017, the share of local funding has been growing steadily, including through the Network's advocacy initiatives. A total of UAH 1,560,000 has been allocated from regional budgets for direct purchases of social services provided by regional NGOs. In 2018, the total amount reached approx. UAH 1,800,000, and in 2019 - approx. UAH 2,860,000 and about 3,000 HIV-positive and vulnerable groups representatives received additional support.
It is expected that this intervention will provide an expanded package of services in 10 regions (with the least funding for this type of expenditure from the local budget in 2020) during 2021-2023, through budget audition, increasing the priority of this type of spending in the local budget. An additional function of this activity will be to advocate for sustainable funding of the expanded package of services at least at the level of 2020, given the potential reduction of the financing due to intra-budgetary competition with other nosologies (for example, costs associated with COVID 19).
</t>
  </si>
  <si>
    <t>необхідно адвокація Emergency пакету послуг щодо ВІЛ на місцевому рівні</t>
  </si>
  <si>
    <t>Support to partner NGOs that operate on temporary occupied territories or in active war zones</t>
  </si>
  <si>
    <t xml:space="preserve">Підтримка НУО-партнерів, які після 24.02.2022 опинилися на тимчасово окупованих територіях або в зоні активних бойових дій </t>
  </si>
  <si>
    <t>Херсонська, Харківська, Донецька (Світанок), Луганська,Запорізька, Миколаївська (2 НУО)</t>
  </si>
  <si>
    <t>ДКВСУ,свобода</t>
  </si>
  <si>
    <t>-</t>
  </si>
  <si>
    <t>Необхідна сума складає 6 486 856 грн (аналогічно виплаченому в 2022). Розрахунок надано окремим файлом (надіслано на електронку). Статті витрат мають включати: 1.зп ключового персоналу, 2. часткове покриття витрат на утримання офісу в умовах активних бойових дій, 3. придбання техніки, яка втрачена внаслілок війни, 4. придбання обладнання для роботи в автономному режимі</t>
  </si>
  <si>
    <t>Uninterrupted and safe provision of HIV services by multidisciplinary team under quarantine restrictions</t>
  </si>
  <si>
    <t>Безперебійне та безпечне надання послуг з ВІЛ в умовах карантинних обмежень</t>
  </si>
  <si>
    <t>неПЕПФАР</t>
  </si>
  <si>
    <t>Балаян</t>
  </si>
  <si>
    <t>Розподілено 288 виїздів. В резерві 24 на Луганськ</t>
  </si>
  <si>
    <t>ART delivery under quarantine restrictions in non-PEPFAR regions</t>
  </si>
  <si>
    <t>Організація доставки АРВ терапії пацієнтам в умовах карантинних обмежень</t>
  </si>
  <si>
    <t>Розподілено 8680 доставок. В резерві 700 на Луганськ</t>
  </si>
  <si>
    <t>addressing the transportation gap for clients of interventions implemented in frame of ongoing TGF grant</t>
  </si>
  <si>
    <t>Організація транспортування хворих на ВІЛ та\чи ТБ та\чи ВГС для проходження необхідної спеціалізованої діагностики</t>
  </si>
  <si>
    <t xml:space="preserve">Вінницька, Волинська, Дніпропетровська, Донецька (підконтрольна), Житомирська, Закарпатська, Запорізька, Івано-Франківська, Кіровоградська, Луганська (підконтрольна), Львівська, Миколаївська, Одеська, Полтавська, Рівненська, Сумська, Тернопільська, Харківська, Херсонська, Хмельницька, Черкаська, Чернівецька, Чернігівська, Київська області та м. Київ </t>
  </si>
  <si>
    <t>Розподілено 2300  послуг від 2500 доставок. В резерві 200 на Луганськ та Херсон</t>
  </si>
  <si>
    <t>Mitigation for TB programs</t>
  </si>
  <si>
    <t>Uninterrupted and safe provision of TB services under quarantine restrictions</t>
  </si>
  <si>
    <t>Безперебійне та безпечне надання послуг з ТБ в умовах карантинних обмежень</t>
  </si>
  <si>
    <t>Вінницька, Дніпропетровська, Житомирська,  Запорізька, Івано-Франківська, Кіровоградська, Луганська (підконтрольна), Полтавська, Рівненська, Сумська, Тернопільська, Харківська, Хмельницька, Черкаська, Чернівецька, Чернігівська, м. Київ.</t>
  </si>
  <si>
    <t>Розподілено 645  виїздів. В резерві 35 на Луганськ</t>
  </si>
  <si>
    <t>Program management salaries for immunological examinations for PLHIV in penitentiary system_01</t>
  </si>
  <si>
    <t>Створення доступу до лабораторного та соціального супровіду  для ВІЛ-інфікованих в ДКВСУ  (обстеження на маркери опортуністичних інфекцій
(Ig M, Ig G, ПЦР) та обстеження на КТ/МРТ)</t>
  </si>
  <si>
    <t>регіони маємо отримати від ДКВСУ</t>
  </si>
  <si>
    <t xml:space="preserve">На 2023 рік немає інтервенції по діагностика ОІ та КТ\МРТ в ДКВСУ. Вона ПОТРІБНа. Тому на 2023 потрібні додаткові кошти на охоплення ОІ 560 осіб, КТ/МРТ - 140 осіб  </t>
  </si>
  <si>
    <t>Відповідно до квот ДКВС - МРТ на 100 осіб,а ОІ на 700 осіб</t>
  </si>
  <si>
    <t>Program management salaries for immunological examinations for PLHIV in penitentiary system_02</t>
  </si>
  <si>
    <t>Створення доступу до лабораторного та соціального супровіду  для ВІЛ-інфікованих в ДКВСУ  до імунологічних обстежень (CD 4)</t>
  </si>
  <si>
    <t xml:space="preserve">На 2023 рік немає інтервенції по сд-4 в ДКВСУ. Вона ПОТРІБНА. Тому на 2023 потрібні додаткові кошти на охоплення 6000 клієнтів по СД4  </t>
  </si>
  <si>
    <t>Забезпечення потреб установ ДКВС України в контексті COVID -19: облаштування консультативних кабінетів  та пілотування інноваційних моделей дистанційного консультування при підготовці до звільнення; проведення навчання для персоналу установ  та забезпечення оплати за здійснення утилізації медичних відходів.</t>
  </si>
  <si>
    <t>З бюджету не зрозуміло чи є кошти на 2023 і в якому обсязі - бюджет на рівні 2022</t>
  </si>
  <si>
    <t>Paralegal assistance to victims of discrimination, in particular victims of gender-based and domestic violence</t>
  </si>
  <si>
    <t>Параюридична допомога постраждалим від дискримінації, зокрема жертвам гендерно-обумовленого та домашнього насильства</t>
  </si>
  <si>
    <t>Будуть реалізувати 2 НУО, Фундація 8 млн, АльянсГлобал - 4 млн. і по Альянсу частково переформатовано, кошти 135 тис грн., що були заплановані на офлайн заходи (тепер заходи онлайн), переплановано на Надання психологічної допомоги представникам спільнот, які отримали психологічну травму під час війни - оплата роботи психолога (цього року це був компонент 404М)</t>
  </si>
  <si>
    <t>Розбудова мережі параюристів спільноти чоловіків, які мають секс з чоловіками</t>
  </si>
  <si>
    <t>Розбудова мережі параюристів спільноти секс працівників</t>
  </si>
  <si>
    <t xml:space="preserve">частково переформатовано, кошти 1 390 500  грн, що були заплановані на заняття для поліції, переплановано на Надання гуманітарної допомоги представникам спільноти секс-працівників під час війни - харчування (для секс-працівників та їх дітей), гігієнічні набори, пледи  (цього року це був компонент 402М) </t>
  </si>
  <si>
    <t>Building capacity of the TB community in human rights advocacy</t>
  </si>
  <si>
    <t>Розбудова мережі параюристів ТБ спільноти</t>
  </si>
  <si>
    <t>додати 1766745,00 грн. з загальної економії на гуманітарний напрямок. Забезпечення термінових потреб пацієнтів з ТБ, у тому числі тих, які знаходяться на стаціонарному лікуванні, а також працівників медичних закладів протитуберкульозної допомоги, персонал яких (зокрема у регіонах, де ведуться активні бойові дії) проживає у ЗОЗ постійно, у засобах гігієни та продуктах харчування. Планується охопити 20 опорних протитуберкульозних лікарень.
1.Продукти харчування для ЗОЗ та пацієнтів - 600 000,00
2.Гігієнічні товари – 150 000,00
3.Інші товари (павербанки, ліхтарі, каністри для пального, генератори, газові горілки, немедичне обладнання та інші товари першої необхідності) – 342 100,00
4. Адміністративні витрати – 353 349,00
5. Програмний персонал (координатор, консультанти з залучення та реалізації гуманітарної допомоги) – 141 296,00
6. Оренда складу - 180 000,00</t>
  </si>
  <si>
    <t xml:space="preserve">додати 1766745,00 грн. з загальної економії на гуманітарний напрямок. </t>
  </si>
  <si>
    <t>Support to women, including those vulnerable to violence or victims of violence</t>
  </si>
  <si>
    <t>Підтримка жінок уразливих до насильства, та жінок, які постраждали від гендерно-обумовленого і домашнього насильства.</t>
  </si>
  <si>
    <t>Scale-up of people-centered contact tracing for TB and COVID-19</t>
  </si>
  <si>
    <t>Усунення барьєрів пов язаних з КОВІД для належного та ефективного впровадження інтервенції по роботі з контактними особами по ТБ для підвищення рівня виявлення та\або хіміопрофілактики ТБ</t>
  </si>
  <si>
    <t xml:space="preserve">Вінницька, Дніпропетровська, Житомирська, Запорізька, Івано-Франківська, Кіровоградська, Луганська, Хмельницька, Черкаська, Чернівецька, Чернігівська області, Полтавська, Тернопільська, Сумська та м. Київ
</t>
  </si>
  <si>
    <t>Prove social support for women from key groups in difficult circumstances caused by COVID-19</t>
  </si>
  <si>
    <t>Надання соціальної підтримки жінкам із ключових груп, які опинилися у складних обставинах спричинених пандемією COVID-19</t>
  </si>
  <si>
    <t>Psychotherapy sessions and webinars on mental health for women living with HIV, women who use drugs, sex workers and transgender women</t>
  </si>
  <si>
    <t>Покращення психічного здоров’я жінок, які вживають наркотики, секс-працівниць, транс*жінок та жінок, які живуть з ВІЛ.</t>
  </si>
  <si>
    <t>217M</t>
  </si>
  <si>
    <t>Improving mental health of employees and volunteers of MSM/LGBTI organizations</t>
  </si>
  <si>
    <t>Покращення психічного здоров’я працівників та волонтерів ЧСЧ/ЛГБТІ організацій</t>
  </si>
  <si>
    <t xml:space="preserve"> Support of a national community-based hotline for sex workers</t>
  </si>
  <si>
    <t>Підтримка національної гарячої лінії для секс-працівниць і секс-працівників</t>
  </si>
  <si>
    <t>Establishment of shelters and crisis rooms for key communities affected by violence</t>
  </si>
  <si>
    <t>Створення шелтерів та кризових кімнат для представників ключових спільнот які постраждали від гендерно-зумовленого насильства під час пандемії COVID-19.</t>
  </si>
  <si>
    <t>Газізова та Рачинська</t>
  </si>
  <si>
    <t>включає 4 шелтери для Позитивні жінки і 1 шелтер у Києві - АльянсГлобал (раніше був 220М). ЕЛІОС та Львівське відділення - ГАЗІЗОВА, решта - РАЧИНСЬКА</t>
  </si>
  <si>
    <t>222M</t>
  </si>
  <si>
    <t>Необхідна додаткова сума 781 940 грн (аналогічно реальним витратам 2022). Розрахунок надано окремим файлом (надіслано на електронку)</t>
  </si>
  <si>
    <t>BUDGET ASSUMPTIONS</t>
  </si>
  <si>
    <t>GENERAL</t>
  </si>
  <si>
    <t>NON-SPECIFIC ASSUMPTIONS</t>
  </si>
  <si>
    <t>Block</t>
  </si>
  <si>
    <t>Type</t>
  </si>
  <si>
    <t>Title</t>
  </si>
  <si>
    <t>Unit</t>
  </si>
  <si>
    <t>Cost per unit, UAH</t>
  </si>
  <si>
    <t>Cost per unit, USD</t>
  </si>
  <si>
    <t>Comments</t>
  </si>
  <si>
    <t>Local events</t>
  </si>
  <si>
    <t>Conference</t>
  </si>
  <si>
    <t>Travel (from/to Kiev to/from regions)</t>
  </si>
  <si>
    <t>round trip</t>
  </si>
  <si>
    <t>actual</t>
  </si>
  <si>
    <t>Meals</t>
  </si>
  <si>
    <t>per day</t>
  </si>
  <si>
    <t>Lunch+Coffee-breaks+Dinner; Average in Training High level and Conferance</t>
  </si>
  <si>
    <t>Rent (incl. euipment)</t>
  </si>
  <si>
    <t>hall for more than 100 persons</t>
  </si>
  <si>
    <t>Accomodation per person</t>
  </si>
  <si>
    <t>per night</t>
  </si>
  <si>
    <t>Stationary and printing materials, hand-out materials</t>
  </si>
  <si>
    <t>per person per event</t>
  </si>
  <si>
    <t>PR and visual support</t>
  </si>
  <si>
    <t>per event</t>
  </si>
  <si>
    <t>Logistic company's fee</t>
  </si>
  <si>
    <t>Training/round table/seminar/ meetings</t>
  </si>
  <si>
    <t>Trainer's fee (local trainer), including taxes</t>
  </si>
  <si>
    <t>per person per day</t>
  </si>
  <si>
    <t>Including taxes</t>
  </si>
  <si>
    <t>Middle Level, Lunch+Coffee-breaks+Dinner</t>
  </si>
  <si>
    <t>Rent including euipment</t>
  </si>
  <si>
    <t xml:space="preserve">Average Middle and Low Level </t>
  </si>
  <si>
    <t>Stationary and printing materials, hand-out materials, equipment rent</t>
  </si>
  <si>
    <t>International events</t>
  </si>
  <si>
    <t>International conference, trainings etc.</t>
  </si>
  <si>
    <t>Travel (including in-country)</t>
  </si>
  <si>
    <t>Other expenses (visa, servises of translators etc.)</t>
  </si>
  <si>
    <t>per trip</t>
  </si>
  <si>
    <t>Accomodation</t>
  </si>
  <si>
    <t>Per diem</t>
  </si>
  <si>
    <t>Registration fee</t>
  </si>
  <si>
    <t>per person</t>
  </si>
  <si>
    <t>Travel company's fee</t>
  </si>
  <si>
    <t>Other activities</t>
  </si>
  <si>
    <t>Monitoring visit</t>
  </si>
  <si>
    <t>Low Lavel, regions, single</t>
  </si>
  <si>
    <t>Consultancy serviсes: international</t>
  </si>
  <si>
    <t>Expert's fee (international)</t>
  </si>
  <si>
    <t>$500 net fee</t>
  </si>
  <si>
    <t>Travel</t>
  </si>
  <si>
    <t>Per diem including accomodation</t>
  </si>
  <si>
    <t xml:space="preserve">Cost of press-media event </t>
  </si>
  <si>
    <t>Rent of premises</t>
  </si>
  <si>
    <t>Cost of working group meeting</t>
  </si>
  <si>
    <t>Consultancy serviсes: local</t>
  </si>
  <si>
    <t>Expert's fee (local), including taxes</t>
  </si>
  <si>
    <t>TRAININGS/MEETINGS/WORKSHOP/ROUND TABLES/VISITS</t>
  </si>
  <si>
    <t>A1</t>
  </si>
  <si>
    <t>Number of people</t>
  </si>
  <si>
    <t>Number of people in trip</t>
  </si>
  <si>
    <t>Number of days</t>
  </si>
  <si>
    <t>Number of national trainers</t>
  </si>
  <si>
    <t>#</t>
  </si>
  <si>
    <t>Type of expense</t>
  </si>
  <si>
    <t>Price per unit, UAH</t>
  </si>
  <si>
    <t>Price per unit, $</t>
  </si>
  <si>
    <t># of units</t>
  </si>
  <si>
    <t># of days/ pieces</t>
  </si>
  <si>
    <t>Sum,  UAH</t>
  </si>
  <si>
    <t>Reduced Sum</t>
  </si>
  <si>
    <t>Rent (premises and equipment)</t>
  </si>
  <si>
    <t>day</t>
  </si>
  <si>
    <t>person</t>
  </si>
  <si>
    <t>Meal</t>
  </si>
  <si>
    <t>Accommodation</t>
  </si>
  <si>
    <t>%</t>
  </si>
  <si>
    <t>Fee for local trainer(s), including taxes</t>
  </si>
  <si>
    <t>Total</t>
  </si>
  <si>
    <t>Price
per person per day
UAH</t>
  </si>
  <si>
    <t>Person days per event</t>
  </si>
  <si>
    <t>A2</t>
  </si>
  <si>
    <t>Number of people facilitated event</t>
  </si>
  <si>
    <t>Accommodation (double)</t>
  </si>
  <si>
    <t>A3</t>
  </si>
  <si>
    <t>A4</t>
  </si>
  <si>
    <t>A5</t>
  </si>
  <si>
    <t>A6</t>
  </si>
  <si>
    <t>Accommodation (single)</t>
  </si>
  <si>
    <t>A7</t>
  </si>
  <si>
    <t>Communities' Forum (3-day event)</t>
  </si>
  <si>
    <t>A8</t>
  </si>
  <si>
    <t>Cost of monitoring visit_01</t>
  </si>
  <si>
    <t>Number of people per one trip</t>
  </si>
  <si>
    <t># of people</t>
  </si>
  <si>
    <t># of days</t>
  </si>
  <si>
    <t>trip</t>
  </si>
  <si>
    <t>N/A</t>
  </si>
  <si>
    <t xml:space="preserve">Total </t>
  </si>
  <si>
    <t>Average cost of subsistence per person per day</t>
  </si>
  <si>
    <t>Quantity</t>
  </si>
  <si>
    <t>A9</t>
  </si>
  <si>
    <t>Cost of monitoring visit_02</t>
  </si>
  <si>
    <t>A28</t>
  </si>
  <si>
    <t>Cost of monitoring visit_03</t>
  </si>
  <si>
    <t>A10</t>
  </si>
  <si>
    <t>Cost of international trip_01</t>
  </si>
  <si>
    <t>Registation fee</t>
  </si>
  <si>
    <t>Other expenses (visa, servises of translators etc.)*</t>
  </si>
  <si>
    <t>A11</t>
  </si>
  <si>
    <t>Cost of international trip_02</t>
  </si>
  <si>
    <t>Name of Event</t>
  </si>
  <si>
    <t>Category</t>
  </si>
  <si>
    <t>Year 1</t>
  </si>
  <si>
    <t>Year 2</t>
  </si>
  <si>
    <t>Year 3</t>
  </si>
  <si>
    <t xml:space="preserve">Community-led advocacy of increаsing access to the antiretroviral medicines and medicine against opportunistic infections (tuberculosis and HCV) </t>
  </si>
  <si>
    <t>2.3 Supervision/surveys/data collection related per diems/transport/other costs</t>
  </si>
  <si>
    <t xml:space="preserve">Community-led monitoring of the activities of the Centralized Procurement Organization on centralized procurements of medical goods and improving national procurement system efficiency </t>
  </si>
  <si>
    <t>Total # of events</t>
  </si>
  <si>
    <t>A12</t>
  </si>
  <si>
    <t>2.4 Meeting/Advocacy related per diems/transport/other costs</t>
  </si>
  <si>
    <t>A13</t>
  </si>
  <si>
    <t>Advocacy of the transition to state funding of the procurement of supplies for diagnosis of tuberculosis.</t>
  </si>
  <si>
    <t>Advocacy of providing access to anti-TB drugs for the treatment of tuberculosis and latent tuberculosis infection.</t>
  </si>
  <si>
    <t>A14</t>
  </si>
  <si>
    <t>End</t>
  </si>
  <si>
    <t xml:space="preserve"> </t>
  </si>
  <si>
    <t>Monthly, UAH (with taxes)</t>
  </si>
  <si>
    <t>Updated Monthly Rate (UAH)</t>
  </si>
  <si>
    <t>Cost per 1 hour, UAH (with taxes)</t>
  </si>
  <si>
    <t>Cost per 1 hour, US dollars</t>
  </si>
  <si>
    <t>Communities</t>
  </si>
  <si>
    <t>(National) Coordinator/Program Officer/Program Manager/Advisor</t>
  </si>
  <si>
    <t>PWID</t>
  </si>
  <si>
    <t>Program</t>
  </si>
  <si>
    <t>(Local) Coordinator/Program Manager/Advisor</t>
  </si>
  <si>
    <t>PLWH</t>
  </si>
  <si>
    <t>Program Officer/Case Manager</t>
  </si>
  <si>
    <t>Project Consultant (per hour)</t>
  </si>
  <si>
    <t>Positive women</t>
  </si>
  <si>
    <t>non-specific</t>
  </si>
  <si>
    <t>IT support (per hour)</t>
  </si>
  <si>
    <t>Social Worker</t>
  </si>
  <si>
    <t>Q1</t>
  </si>
  <si>
    <t>Q2</t>
  </si>
  <si>
    <t>Q3</t>
  </si>
  <si>
    <t>Q4</t>
  </si>
  <si>
    <t>Q5</t>
  </si>
  <si>
    <t>Q6</t>
  </si>
  <si>
    <t>Q7</t>
  </si>
  <si>
    <t>Q8</t>
  </si>
  <si>
    <t>Q9</t>
  </si>
  <si>
    <t>Q10</t>
  </si>
  <si>
    <t>Q11</t>
  </si>
  <si>
    <t>Q12</t>
  </si>
  <si>
    <t>3.1 Technical Assistance Fees/Consultants</t>
  </si>
  <si>
    <t>TOTAL</t>
  </si>
  <si>
    <t>Community mobilization and advocacy (TB)</t>
  </si>
  <si>
    <t>Advocacy of optimization of treatment of HIV and multidrug-resistant tuberculosis by improving the current state policy in the field of intellectual property</t>
  </si>
  <si>
    <t>Appeal of a patent (patent application) concerning an anti-tuberculosis drug.</t>
  </si>
  <si>
    <t>Research on the Impact of Health Care Reform in Ukraine on the Provision of Medical and Social Services to Patients with Tuberculosis</t>
  </si>
  <si>
    <t/>
  </si>
  <si>
    <t>Increasing access of PLHIV and representatives of the KP to public services for social protection and financial assistance at oblast level  under the implementation of the newly adopted Law on Social Services</t>
  </si>
  <si>
    <t>Advocacy for increased access to HCV diagnosis and treatment among PWID, as well as increased coordination of efforts
for the elimination of HC</t>
  </si>
  <si>
    <t>Coordination of the working group</t>
  </si>
  <si>
    <t>Calculation of funding needs at the national level</t>
  </si>
  <si>
    <t>Activities at the regional level for 7 oblasts with the highest level of HCV infection</t>
  </si>
  <si>
    <t>Formation of a typical route of a HCV patient</t>
  </si>
  <si>
    <t>Development and advocacy of patient route approval in 24 regions of Ukraine</t>
  </si>
  <si>
    <t>Conducting a study on the impact of key groups on the rate of spread of viral hepatitis in Ukraine and developing recommendations for the elimination of HCV among representatives of key groups</t>
  </si>
  <si>
    <t>Information systems and integrated specimen transport networks</t>
  </si>
  <si>
    <t>Creating prerequisites and data exchange functionality between laboratory information systems within eHealth ecosystem</t>
  </si>
  <si>
    <t>LIMS introduction in regional TB labs  in all regions of Ukraine</t>
  </si>
  <si>
    <t>Policy and planning for national disease control programs</t>
  </si>
  <si>
    <t>Needs assessment of KPs communities in the social, medical and human rights fields and organizational and leadership capacity development of the regional KPs networks.</t>
  </si>
  <si>
    <t>Communities networks strengthening and international exchange visits</t>
  </si>
  <si>
    <t>Researches and advocacy on coordination of efforts of governmantal and health care agencies at various levels</t>
  </si>
  <si>
    <t>Monthly Budget</t>
  </si>
  <si>
    <t>Annual Budget - additional costs</t>
  </si>
  <si>
    <t>Monthly Budget - TOTAL</t>
  </si>
  <si>
    <t>UAH</t>
  </si>
  <si>
    <t>USD</t>
  </si>
  <si>
    <t>1.1 Salaries - program management</t>
  </si>
  <si>
    <t>1.4 Other HR Costs</t>
  </si>
  <si>
    <t>2.5 Other Transportation costs</t>
  </si>
  <si>
    <t>3.4 Other external professional services</t>
  </si>
  <si>
    <t>project audit</t>
  </si>
  <si>
    <t>9.1 IT - Computers, computer equipment, Software and applications</t>
  </si>
  <si>
    <t>11.1 Office related costs</t>
  </si>
  <si>
    <t>11.4 Other PA costs</t>
  </si>
  <si>
    <t>bank fee on project expenses</t>
  </si>
  <si>
    <t>НАПРЯМ</t>
  </si>
  <si>
    <t>OTHER BUDGET ASSUMPTIONS</t>
  </si>
  <si>
    <t>Inflation Rate</t>
  </si>
  <si>
    <t>Year</t>
  </si>
  <si>
    <t>Rate</t>
  </si>
  <si>
    <t>Rate to apply</t>
  </si>
  <si>
    <t>Operational cost, assumption</t>
  </si>
  <si>
    <t>Operational staff</t>
  </si>
  <si>
    <t>Office costs</t>
  </si>
  <si>
    <t>Non-specific assumptions (are used in assumptions below)</t>
  </si>
  <si>
    <t>Item</t>
  </si>
  <si>
    <t>In UAH</t>
  </si>
  <si>
    <t>In US dollars</t>
  </si>
  <si>
    <t>Program cost, assumption</t>
  </si>
  <si>
    <t>Food package</t>
  </si>
  <si>
    <t>Motivation package – Prison</t>
  </si>
  <si>
    <t>Mobile phone card</t>
  </si>
  <si>
    <t>Provision of a pill box</t>
  </si>
  <si>
    <t>testing and diagnostics</t>
  </si>
  <si>
    <t>Pharmaceuticals</t>
  </si>
  <si>
    <t>Test hepatitis</t>
  </si>
  <si>
    <t>Healthcare products</t>
  </si>
  <si>
    <t>Hygienic kits</t>
  </si>
  <si>
    <t>Hygienic kits for mothers</t>
  </si>
  <si>
    <t>Hygienic kits for newborns</t>
  </si>
  <si>
    <t>Drugs' delivery</t>
  </si>
  <si>
    <t>Transportation of clients</t>
  </si>
  <si>
    <t>Transportation expenses for social workers</t>
  </si>
  <si>
    <t>Fuel for transportation</t>
  </si>
  <si>
    <t>Group session (per person)</t>
  </si>
  <si>
    <t>Total number of working hours per months (FTE)</t>
  </si>
  <si>
    <t>Total number of months per quarter</t>
  </si>
  <si>
    <t>Hardware package assumption</t>
  </si>
  <si>
    <t>Price</t>
  </si>
  <si>
    <t>Computer (monoblock)</t>
  </si>
  <si>
    <t>Screen</t>
  </si>
  <si>
    <t>Printer</t>
  </si>
  <si>
    <t>Mouse</t>
  </si>
  <si>
    <t>Licensed soft for Windows</t>
  </si>
  <si>
    <t>Micrphopne and headphones</t>
  </si>
  <si>
    <t>Keyboard</t>
  </si>
  <si>
    <t>UPS</t>
  </si>
  <si>
    <t>Network equipment</t>
  </si>
  <si>
    <t>Network equipment installation</t>
  </si>
  <si>
    <t>Bar code printers</t>
  </si>
  <si>
    <t>Bar code readers</t>
  </si>
  <si>
    <t>Router</t>
  </si>
  <si>
    <t>LOE</t>
  </si>
  <si>
    <t># of months</t>
  </si>
  <si>
    <t>Sum, UAH</t>
  </si>
  <si>
    <t>Cost Input</t>
  </si>
  <si>
    <t>Unit of Measure</t>
  </si>
  <si>
    <t>Y1 Unit Cost</t>
  </si>
  <si>
    <t xml:space="preserve"> Y1 Quantity</t>
  </si>
  <si>
    <t>Y1 Cash Outflow</t>
  </si>
  <si>
    <t>Y2 Unit Cost</t>
  </si>
  <si>
    <t xml:space="preserve"> Y2 Quantity</t>
  </si>
  <si>
    <t>Y2 Cash Outflow</t>
  </si>
  <si>
    <t>Y3 Unit Cost</t>
  </si>
  <si>
    <t xml:space="preserve"> Y3 Quantity</t>
  </si>
  <si>
    <t>Y3 Cash Outflow</t>
  </si>
  <si>
    <t>Consultants</t>
  </si>
  <si>
    <t>#REF!</t>
  </si>
  <si>
    <t>Consultant fee per person per workday</t>
  </si>
  <si>
    <t>Trainings</t>
  </si>
  <si>
    <t>event</t>
  </si>
  <si>
    <t>2.1 Training related per diems/transport/other costs</t>
  </si>
  <si>
    <t>Average cost of training per person per day</t>
  </si>
  <si>
    <t>Procurement of equipment for transportation (containers, thermal containers).</t>
  </si>
  <si>
    <t>purchase</t>
  </si>
  <si>
    <t>5.8 Other consumables</t>
  </si>
  <si>
    <t>Procurement of fuel for transportation.</t>
  </si>
  <si>
    <t>litre</t>
  </si>
  <si>
    <t>2.5 Other transportation costs</t>
  </si>
  <si>
    <t>Events (presentations, round tables, etc).</t>
  </si>
  <si>
    <t>Administrative Personnel</t>
  </si>
  <si>
    <t>10%</t>
  </si>
  <si>
    <t>Average payment per FTE (person) per quarter</t>
  </si>
  <si>
    <t>Administrative costs</t>
  </si>
  <si>
    <t>15%</t>
  </si>
  <si>
    <t>Average office cost per office unit per quarter</t>
  </si>
  <si>
    <t>102M</t>
  </si>
  <si>
    <t>Service</t>
  </si>
  <si>
    <t>Service Description</t>
  </si>
  <si>
    <t>How long (hours)</t>
  </si>
  <si>
    <t>Frequency</t>
  </si>
  <si>
    <t>Unit Cost</t>
  </si>
  <si>
    <t>Total Cost</t>
  </si>
  <si>
    <t>Y1</t>
  </si>
  <si>
    <t>Y2</t>
  </si>
  <si>
    <t>Y3</t>
  </si>
  <si>
    <t>Needs assesment with project client</t>
  </si>
  <si>
    <t>Screening survey on TB cymptoms and signs</t>
  </si>
  <si>
    <t>1.2 Salaries - outreach workers, medical staff and other service providers</t>
  </si>
  <si>
    <t>Case management</t>
  </si>
  <si>
    <t>Redirection suspected cases to LF-LAM testing</t>
  </si>
  <si>
    <t>Consultation before LF-LAM testing</t>
  </si>
  <si>
    <t>Filling in project documentation</t>
  </si>
  <si>
    <t>Post-test consultations for the client</t>
  </si>
  <si>
    <t>Redirection to TB or other medical facilities to confirm the positive result of LF-LAM</t>
  </si>
  <si>
    <t>Promoting to conduct GenXpert for siverilly ill acompanied by LF-LAM</t>
  </si>
  <si>
    <t>Transportation costs</t>
  </si>
  <si>
    <t>Reimbursement of transportation costs to customers</t>
  </si>
  <si>
    <t>Client encouragement</t>
  </si>
  <si>
    <t>Motivation sets for customers</t>
  </si>
  <si>
    <t>12.2 Food and care packages</t>
  </si>
  <si>
    <t>Encouragement the social worker for passing TB confirmatory diagnostic by the client</t>
  </si>
  <si>
    <t>13.4 Incentives for Community Health Workers (CHW), outreach workers, medical staff a</t>
  </si>
  <si>
    <t>Treatment coordination and control</t>
  </si>
  <si>
    <t>Reimbursement of expencive diagnostic (CT, MRI etc.)</t>
  </si>
  <si>
    <t>12.5 Other LSCTP costs</t>
  </si>
  <si>
    <t>Coordination with TB services</t>
  </si>
  <si>
    <t>Coordination with HIV services</t>
  </si>
  <si>
    <t>Transportation</t>
  </si>
  <si>
    <t>Transportation bio-samples, including sputum from severily ill or low-income clients</t>
  </si>
  <si>
    <t>Development and distribution information materials on TB diagnostic by LF-LAM among PLHIV</t>
  </si>
  <si>
    <t>10.1 Printed materials (forms, books, guidelines, brochure, leaflets...)</t>
  </si>
  <si>
    <t>Administrative personnel</t>
  </si>
  <si>
    <t>AUN</t>
  </si>
  <si>
    <t>Risk assessment of treatment interruption, on-going assessment, individual support plan</t>
  </si>
  <si>
    <t>On-going support and consultancy</t>
  </si>
  <si>
    <t>Assessment of quality of medical care</t>
  </si>
  <si>
    <t>Drugs to treat opportunistic infections</t>
  </si>
  <si>
    <t>legal advice (5% of low-income clients)</t>
  </si>
  <si>
    <t>psychological councelling (15% of low-income clients)</t>
  </si>
  <si>
    <t>Drug's delivery: compensations of the transporting (provider)</t>
  </si>
  <si>
    <t>Drug's delivery: compensations of the travel expenses (clients)</t>
  </si>
  <si>
    <t>Treatment control</t>
  </si>
  <si>
    <t>Educational activities on treatment specifics</t>
  </si>
  <si>
    <t>Providing of the diagnostics for 25% of low-income clients (smear collection)</t>
  </si>
  <si>
    <t>psychological councelling (10% of low-income clients)</t>
  </si>
  <si>
    <t>Providing of the diagnostics for 10% of low-income clients (smear collection)</t>
  </si>
  <si>
    <t>Research</t>
  </si>
  <si>
    <t>price, UAH</t>
  </si>
  <si>
    <t xml:space="preserve">month </t>
  </si>
  <si>
    <t>days / sites / copies / events</t>
  </si>
  <si>
    <t>development  and piloting of tools</t>
  </si>
  <si>
    <t>coordination of survey</t>
  </si>
  <si>
    <t>expert group</t>
  </si>
  <si>
    <t>training for interviewers</t>
  </si>
  <si>
    <t>field work (site coordinator, indepth-interviews)</t>
  </si>
  <si>
    <t>site visits and other travel</t>
  </si>
  <si>
    <t>questionnair publication and stationary</t>
  </si>
  <si>
    <t>communication</t>
  </si>
  <si>
    <t>administrative costs</t>
  </si>
  <si>
    <t>preparation of final report</t>
  </si>
  <si>
    <t>print of report</t>
  </si>
  <si>
    <t>‘SOCIAL NANNY’
A comprehensive approach providing medical and social, psychological care to children and adolescents with sensitive and/or drug resistant TB will be implemented and takes into account the needs of a particular child and family needs</t>
  </si>
  <si>
    <t>Survey on needs in social nanny for families vared about children with TB, under 14 y.o.</t>
  </si>
  <si>
    <t>Training of NGO staff (psychologists, social workers, teachers), Ministry of Socila Welfaire staff to perform the work of a social nanny (infectious control, combating TB stigma, key issues in the organization of treatment of children)</t>
  </si>
  <si>
    <t>Preparing the individual plan of support for children based on needs survey</t>
  </si>
  <si>
    <t>Raising awareness of parents / caregivers / guardians of a children about TB</t>
  </si>
  <si>
    <t xml:space="preserve">Formation and support adherence to TB treatment in children / adolescents </t>
  </si>
  <si>
    <t>Providing a patient-oriented controlled daily intake of TPT, including delivery of drugs to a convenient place, if necessary</t>
  </si>
  <si>
    <t>Reimbursement of expencive diagnostic based on individual needs (CT, MRI, electrolytes, hormons, etc.)</t>
  </si>
  <si>
    <t>Monitoring of side effects and individual providing medicenes for controlling side effects</t>
  </si>
  <si>
    <t>Cost of a pack</t>
  </si>
  <si>
    <t>Motivation for famylies - food sets, reimbursment of transport cost and mobile connections, hygiene sets, specialized nutrition</t>
  </si>
  <si>
    <t>Support in resolving social needs via nanny/teacher involvement</t>
  </si>
  <si>
    <t>Information and psychological assistance to parents and children with the involvement of a social worker, teacher</t>
  </si>
  <si>
    <t>Legal support (solving housing problems, restoring documents, etc.).</t>
  </si>
  <si>
    <t>Адміністративний персонал</t>
  </si>
  <si>
    <t>Адміністративні витрати</t>
  </si>
  <si>
    <t>Всього</t>
  </si>
  <si>
    <t>Consultation of a social worker / nurse / case manager</t>
  </si>
  <si>
    <t>Consultation of a TB doctor</t>
  </si>
  <si>
    <t>Payment for services for transportation of biomaterials</t>
  </si>
  <si>
    <t>Providing motivational kits (food / hygiene)</t>
  </si>
  <si>
    <t>Service provider encouragement</t>
  </si>
  <si>
    <t xml:space="preserve">Bonus for a case manager for passing a continuous course of TB treatment by patient (after treatment)
</t>
  </si>
  <si>
    <t>Case manager bonus for "cured" result</t>
  </si>
  <si>
    <t>Payment for diagnostics</t>
  </si>
  <si>
    <t>Bonus for a case manager for passing a continuous course of TB treatment by patient (after treatment)</t>
  </si>
  <si>
    <t>Bonus for a case manager</t>
  </si>
  <si>
    <t>Transportation costs for a social worker</t>
  </si>
  <si>
    <t>Transportation costs to the place of residence</t>
  </si>
  <si>
    <t>Consultation of a lawyer</t>
  </si>
  <si>
    <t>Survey on individual needs and drawing up the individual plan of support (social worker)</t>
  </si>
  <si>
    <t>House cleaning, food purchase, medicine delivery, hygiene services, solving social and household issues. Help with payment of utility bills (at the client's expense)</t>
  </si>
  <si>
    <t>Patients education on cough etiquet and respiratory, individual hygiene measures</t>
  </si>
  <si>
    <t>Training in sanitary measures in the TB focus in accordance with the infectious control requirements, contact screening</t>
  </si>
  <si>
    <t xml:space="preserve">Reimbursement of expencive diagnostic - CT, MRI, biopsy, ultrasound etc. </t>
  </si>
  <si>
    <t>Purchase of medical supplies and drugs cost compensation</t>
  </si>
  <si>
    <t xml:space="preserve">Purchase of hygiene and non-medical care products (crutches, diapers, nappies, anti-decubitus mattresses, etc.) </t>
  </si>
  <si>
    <t xml:space="preserve">Food sets to form adherence </t>
  </si>
  <si>
    <t xml:space="preserve">Advocacy in case of required surgery </t>
  </si>
  <si>
    <t>Organizations involving medical professionals for adjuvant therapy to alleviate the suffering of terminal TB patients</t>
  </si>
  <si>
    <t>Targeted legal support</t>
  </si>
  <si>
    <t>Psychological survey and targeted psychological support for patients and their relatives</t>
  </si>
  <si>
    <t xml:space="preserve">Development of testing algorithms and clients' itinerary (Consultant) </t>
  </si>
  <si>
    <t>Regional visits for conducting trainings and monitoring (Consultant)</t>
  </si>
  <si>
    <t>Working with TB index case in the disease focus and its detected contacts. Survey on contacts to determine their TB-associated risk. Survey on contacts for TB symptoms and sighns, redirection contacts for a medical examination to a TB doctor.</t>
  </si>
  <si>
    <t>Directing and facilitating the contacts declaration signing up with the family doctor (if necessary for further observation)</t>
  </si>
  <si>
    <t>Facilitating the TB diagnosis by IGRA/TST and prescribing treatment by primary care family doctors</t>
  </si>
  <si>
    <t xml:space="preserve">Adherence formation for LTBI treatment by providing food sets, hygiene sets, etc. </t>
  </si>
  <si>
    <t>Reimbursement to the clients : transport costs, expensive diagnostic for rulling out active TB</t>
  </si>
  <si>
    <t>Consulting and tracking side effects due to LTBI course</t>
  </si>
  <si>
    <t xml:space="preserve">Formation of skills on folowing infection control measures in the TB focus </t>
  </si>
  <si>
    <t>Controlled intake of drugs for LTBI treatment</t>
  </si>
  <si>
    <t>Consultation of a social worker /case manager</t>
  </si>
  <si>
    <t>Bonus for a case manager for completing a preventive TB treatment course</t>
  </si>
  <si>
    <t>UKR</t>
  </si>
  <si>
    <t>Consultations on safe behavior issues</t>
  </si>
  <si>
    <t>Overdose prevention (group consultation)</t>
  </si>
  <si>
    <t>Exchange and / or dispensing of syringes and needles</t>
  </si>
  <si>
    <t>Providing of informational materials</t>
  </si>
  <si>
    <t>Formation of adherence to OST (group consultation)</t>
  </si>
  <si>
    <t>Consultation of a case manager</t>
  </si>
  <si>
    <t>Group sessions</t>
  </si>
  <si>
    <t>Expenses for training (12 for prisoners and 2 for staff) (cookies, tea, notebook, pen)</t>
  </si>
  <si>
    <t>Average cost of event per participant per day</t>
  </si>
  <si>
    <t>transportation expenses</t>
  </si>
  <si>
    <t xml:space="preserve">Hygienic kits </t>
  </si>
  <si>
    <t>Consultation of a social worker (individual)</t>
  </si>
  <si>
    <t>Consultation of an infectious disease doctor</t>
  </si>
  <si>
    <t>Transportation costs for consultations</t>
  </si>
  <si>
    <t xml:space="preserve">TGP size estimation </t>
  </si>
  <si>
    <t>115M</t>
  </si>
  <si>
    <t>Description of budget lines</t>
  </si>
  <si>
    <t>Cost, UAH</t>
  </si>
  <si>
    <t>person / quantity</t>
  </si>
  <si>
    <t>Total, UAH</t>
  </si>
  <si>
    <t>Development of Study Protocol and tools</t>
  </si>
  <si>
    <t xml:space="preserve">Coordination of study </t>
  </si>
  <si>
    <t xml:space="preserve">Expert group work </t>
  </si>
  <si>
    <t xml:space="preserve">Travel </t>
  </si>
  <si>
    <t xml:space="preserve">Meetings </t>
  </si>
  <si>
    <t>Data dissemination and communication</t>
  </si>
  <si>
    <t>Preparation of final report</t>
  </si>
  <si>
    <t>Print of report</t>
  </si>
  <si>
    <t>Risk and needs assessment</t>
  </si>
  <si>
    <t xml:space="preserve">Development of individual plans for preparation for release (not earlier than 3 months before release)
</t>
  </si>
  <si>
    <t>Conducting life skills courses (group consultation)</t>
  </si>
  <si>
    <t>Giving of naloxone to IDUs before release</t>
  </si>
  <si>
    <t>Social support for IDUs who have been released from prisons to medical and / or social services and programs (not more than 3 months after release)</t>
  </si>
  <si>
    <t>NGCA</t>
  </si>
  <si>
    <t>Annual coverage</t>
  </si>
  <si>
    <t>117M</t>
  </si>
  <si>
    <t>Case filing</t>
  </si>
  <si>
    <t>Vertical transmission and ART issues</t>
  </si>
  <si>
    <t>Psychological support</t>
  </si>
  <si>
    <t>Support groups</t>
  </si>
  <si>
    <t>Family planning issues</t>
  </si>
  <si>
    <t>Working time of case manager</t>
  </si>
  <si>
    <t>Medical issues</t>
  </si>
  <si>
    <t>Consultation of a profile doctor</t>
  </si>
  <si>
    <t>Clothes/baby supplies/food upon need assessment</t>
  </si>
  <si>
    <t>Provision of information</t>
  </si>
  <si>
    <t>booklet</t>
  </si>
  <si>
    <t>Average gross salary per FTE (person) per quarter</t>
  </si>
  <si>
    <t>118M</t>
  </si>
  <si>
    <t>Follow-up consultation</t>
  </si>
  <si>
    <t>Phone consultation of case manager</t>
  </si>
  <si>
    <t>Needs assesment with partner</t>
  </si>
  <si>
    <t>Post-test counseling for partner</t>
  </si>
  <si>
    <t>Condom</t>
  </si>
  <si>
    <t>5.2 Condoms - Male</t>
  </si>
  <si>
    <t>Case manager's support for official HIV+ filing</t>
  </si>
  <si>
    <t>Bonus for a health worker for the detected HIV-positive  person and redirection</t>
  </si>
  <si>
    <t>Social worker consultative support before placing a client on the dispensary register</t>
  </si>
  <si>
    <t>Bonus for a social worker for placing a client on the dispensary register</t>
  </si>
  <si>
    <t>Collection information about contact persons (social worker consultation)</t>
  </si>
  <si>
    <t>Motivation for clients who provided information about contact persons (hygiene / grocery / replenishment card) -80% provided contacts from those who on dispensary register</t>
  </si>
  <si>
    <t>Counseling of contact persons and motivation for testing (2 people for each of those who gave contacts)</t>
  </si>
  <si>
    <t>Counseling and testing for HIV of contact persons (80% of those to whom offered testing)</t>
  </si>
  <si>
    <t>Motivation for contact persons for HIV testing</t>
  </si>
  <si>
    <t>12.3 Cash incentives/transfer to patients/beneficiaries/counsellors/mediators</t>
  </si>
  <si>
    <t>Average amount of incentives per person per quarter</t>
  </si>
  <si>
    <t>Transport costs for the client to get to the test site (60% of the number of contacts)</t>
  </si>
  <si>
    <t>Bonus for a health worker for detected HIV-positive person (20% of the number of tested)</t>
  </si>
  <si>
    <t>Social worker consultation before before placing a client on the dispensary register (20% of the number of tested) - 3 consultations</t>
  </si>
  <si>
    <t>Bonus for a social worker for placing a client on the dispensary register (contact persons)</t>
  </si>
  <si>
    <t>Motivation for the client for registration at the dispensary or payment for diagnostics</t>
  </si>
  <si>
    <t>Family doctor consultation</t>
  </si>
  <si>
    <t>Logistics of analysis</t>
  </si>
  <si>
    <t>Logistics of drugs</t>
  </si>
  <si>
    <t>Diagnosis of opportunistic diseases</t>
  </si>
  <si>
    <t>Consultation of a social worker</t>
  </si>
  <si>
    <t>Transportation of biomaterials</t>
  </si>
  <si>
    <t>Providing motivational kits (hygienic)</t>
  </si>
  <si>
    <t>121M</t>
  </si>
  <si>
    <t>Consultation of social worker or psychologist - once a month</t>
  </si>
  <si>
    <t>Patronage support (delivery of medicines; help withsocial and household issues: cleaning, purchase of food, medicines, payment of utility bills (at the expense of the client), communication with other social services) - once a month</t>
  </si>
  <si>
    <t>Purchase of non-medical goods (crutches, diapers, nappies)</t>
  </si>
  <si>
    <t>Diagnosis (CT, MRI, biopsy, ultrasound or other)</t>
  </si>
  <si>
    <t xml:space="preserve">Transport costs for transporting a client to a medical institution (for diagnosis, doctor's visit, etc.)
</t>
  </si>
  <si>
    <t>Consultation of a social worker (monthly for each client)</t>
  </si>
  <si>
    <t>Consultation of f social worker by phone (monthly for each client)</t>
  </si>
  <si>
    <t>Psychologist consultation (once a month for each client)</t>
  </si>
  <si>
    <t>Group training for parents (every two months)</t>
  </si>
  <si>
    <t>Group training for children (every two months)</t>
  </si>
  <si>
    <t>Motivation for the client (card or set) - 6 per year</t>
  </si>
  <si>
    <t xml:space="preserve">Patronage in the context of crisis families (70% of coverage): visits to the family of a social worker (monthly)
</t>
  </si>
  <si>
    <t xml:space="preserve">Transport expenses for visiting crisis families and / or orphans (70% of coverage) (monthly)
</t>
  </si>
  <si>
    <t>Additional food / hygiene kits for crisis families and \ or orphans (70% of coverage) - 6 per year</t>
  </si>
  <si>
    <t>Training</t>
  </si>
  <si>
    <t>Conducting a "School for Girls" (once a month)</t>
  </si>
  <si>
    <t>Social worker</t>
  </si>
  <si>
    <t>month</t>
  </si>
  <si>
    <t>Psychologist</t>
  </si>
  <si>
    <t>Healthy Lifestyle Consultant (Physician)</t>
  </si>
  <si>
    <t>Specialists in conducting LAM testing</t>
  </si>
  <si>
    <t>Motivational encouragement for client(product certificates)</t>
  </si>
  <si>
    <t>item</t>
  </si>
  <si>
    <t xml:space="preserve"> Motivational encouragement for client (reimbursement of transportation costs to clients)</t>
  </si>
  <si>
    <t>Goods for group classes on ART therapy</t>
  </si>
  <si>
    <t>Working trip of mobile team specialists to provide technical assistance (2 people)</t>
  </si>
  <si>
    <t>visit</t>
  </si>
  <si>
    <t>Coordinator for interaction with state medical facilities in the regions</t>
  </si>
  <si>
    <t>Working meeting on advocacy for the implementation of a comprehensive model and standards for the diagnosis / treatment of HIV, TB, hepatitis in the regions for 20 people. * 1 day, 2 specialists; 6 regions</t>
  </si>
  <si>
    <t>All-Ukrainian Workshop for Pediatricians of Regional AIDS Centers 30 people * 3 days in Kyiv</t>
  </si>
  <si>
    <t>Operational personnel</t>
  </si>
  <si>
    <t>quarter</t>
  </si>
  <si>
    <t>Office related costs</t>
  </si>
  <si>
    <t>ОБЛАДНАННЯ БОМБОСХОВИЩА В ОХМАТДИТ ДЛЯ ВІЛ_позитивних дітей</t>
  </si>
  <si>
    <t>Назва</t>
  </si>
  <si>
    <t>Одиниця виміру</t>
  </si>
  <si>
    <t>вартість одиниці,грн</t>
  </si>
  <si>
    <t>кількість</t>
  </si>
  <si>
    <t>Сума,грн</t>
  </si>
  <si>
    <t>Утеплений леноліум</t>
  </si>
  <si>
    <t>кв.м</t>
  </si>
  <si>
    <t>Фарба для стін</t>
  </si>
  <si>
    <t>40грн./л/2л/ на 1кв.м=80 грн</t>
  </si>
  <si>
    <t>Ліжка</t>
  </si>
  <si>
    <t>шт</t>
  </si>
  <si>
    <t>Матраци</t>
  </si>
  <si>
    <t>Столи для заять</t>
  </si>
  <si>
    <t>Стільці</t>
  </si>
  <si>
    <t>Шафа</t>
  </si>
  <si>
    <t>Світильники на стелю</t>
  </si>
  <si>
    <t>Обігрівачі</t>
  </si>
  <si>
    <t>Електрочайник</t>
  </si>
  <si>
    <t>Ковдри</t>
  </si>
  <si>
    <t>Утеплення стін</t>
  </si>
  <si>
    <t>ВСЬОГО</t>
  </si>
  <si>
    <t>Social worker consultation on drawing up of the individual plan of needs on representation of interests of the client (1 consultation lasting 1 hour)</t>
  </si>
  <si>
    <t>Assistance to the client in drawing up applications / appeals</t>
  </si>
  <si>
    <t>Negotiating on behalf of the client</t>
  </si>
  <si>
    <t xml:space="preserve">Accompanying the client to institutions and establishments to restore documents / receive targeted assistance, etc.
</t>
  </si>
  <si>
    <t>Transportation costs to represent the client's interests in institutions and / or transportation of the client</t>
  </si>
  <si>
    <t xml:space="preserve">Assistance in placement in asylum institutions, social services or social protection institutions (20% of coverage)
</t>
  </si>
  <si>
    <t>Assistance in obtaining a medical examination, placement in health care and treatment facilities (60% of coverage)</t>
  </si>
  <si>
    <t>Crisis intervention and social support of the family (20% of coverage)</t>
  </si>
  <si>
    <t>Product set (every two months for each client)</t>
  </si>
  <si>
    <t>Restoration of contact with HIV-positive clients who dropped out of medical care (including transportation costs)</t>
  </si>
  <si>
    <t>Transport costs for transporting the client to the medical institution (85% of coverage)</t>
  </si>
  <si>
    <t>Diagnosis for the client - 85% of coverage</t>
  </si>
  <si>
    <t>Bonus for a social worker for returning the client to medical supervision - 80% of coverage</t>
  </si>
  <si>
    <t>Motivation for the client for restart treatment and return to the medical surveillance system (80%)</t>
  </si>
  <si>
    <t>Formation of adherence to ART (Patient School) - 80%</t>
  </si>
  <si>
    <t>Bonus for a social worker for the formed adherence (VL less than 1000 copies) - 60% of clients</t>
  </si>
  <si>
    <t>Client registration (Needs Assessment), support plan development, monitoring, support analysis, case closure by the manager, documentation, etc. (HIV-positive adults who belong to the high complexity category)</t>
  </si>
  <si>
    <t>Providing project client support services (assessment of the patient's condition, treatment experience, treatment regimens, referral to other specialists (if necessary), documentation, etc.) (HIV-positive adults who belong to the high category of complexity)</t>
  </si>
  <si>
    <t>Providing counseling services to clients and their close environment, who are at different stages of their subsequent support (cognitive disorders, severe emotional states, etc.), documentation</t>
  </si>
  <si>
    <t>Providing services for social and psychological support of clients (HIV-positive adults who belong to the high category of complexity), documentation issues</t>
  </si>
  <si>
    <t>Delivery of drugs for clients with limited functional status, delivery registration.</t>
  </si>
  <si>
    <t>Providing clients with hygienic, food kits</t>
  </si>
  <si>
    <t>Instrumental diagnosis</t>
  </si>
  <si>
    <t>Transportation of patients to other medical facilities</t>
  </si>
  <si>
    <t>Conducting training workshops on caring for critically ill HIV patients</t>
  </si>
  <si>
    <t>Consultation of a social worker/case manager</t>
  </si>
  <si>
    <t>Consultation of a social worker/case manager by phone after release</t>
  </si>
  <si>
    <t>Bonus to a social worker / case manager for registration of released person for dispensary registration</t>
  </si>
  <si>
    <t>CRIMEA</t>
  </si>
  <si>
    <t>130M</t>
  </si>
  <si>
    <t>Client enrollment</t>
  </si>
  <si>
    <t>Treatment adherence</t>
  </si>
  <si>
    <t>Certificate for food/goods procurement (NGCA - 12 parcels per client per intervention)</t>
  </si>
  <si>
    <t>Initial client's support</t>
  </si>
  <si>
    <t>Routine client's support</t>
  </si>
  <si>
    <t>Patient's phase-out</t>
  </si>
  <si>
    <t>131M</t>
  </si>
  <si>
    <t>Y3, 6 months</t>
  </si>
  <si>
    <t xml:space="preserve">assisting  patients to other medical facilities, help with filling in records, etc </t>
  </si>
  <si>
    <t>Certificate for food/goods procurement</t>
  </si>
  <si>
    <t>TB screening through questionnaire; ARVs’ delivery, help with blood/sample transportation, searching for lost to follow up clients</t>
  </si>
  <si>
    <t>132M</t>
  </si>
  <si>
    <t>Consultation of a social worker by phone (monthly for each client)</t>
  </si>
  <si>
    <t>Group classes for parents (every two months)</t>
  </si>
  <si>
    <t>Group classes for children (every two months)</t>
  </si>
  <si>
    <t>Patronage in the context of crisis families (70% of coverage): social workers visits to the family (monthly)</t>
  </si>
  <si>
    <t>Transport expenses for visiting crisis families and / or orphans (70% of coverage) (monthly)</t>
  </si>
  <si>
    <t>Conducting "School for Girls" (once a month)</t>
  </si>
  <si>
    <t>133M</t>
  </si>
  <si>
    <t>Consultation of a social worker or psychologist - once a month</t>
  </si>
  <si>
    <t>Patronage support (delivery of medicines; help with social and household issues: cleaning, purchase of food, medicines, payment of utility bills (at the expense of the client), communication with other social services) - once a month</t>
  </si>
  <si>
    <t>Transport costs for transporting a client to a medical institution (for diagnosis, doctor's visit, etc.)</t>
  </si>
  <si>
    <t>134M</t>
  </si>
  <si>
    <t>Assistance in the provision of ART to HIV-positive  prisoners.</t>
  </si>
  <si>
    <t>Motivation of prisoners prior to initiation of ARV treatment.</t>
  </si>
  <si>
    <t>Development of ART adherence and treatment retention.</t>
  </si>
  <si>
    <t>Prevention of ART rejection.</t>
  </si>
  <si>
    <t>TB screening.</t>
  </si>
  <si>
    <t>Motivational kits.</t>
  </si>
  <si>
    <t>Transportation of biomaterials.</t>
  </si>
  <si>
    <t>Registration of side effects of ARV drugs.</t>
  </si>
  <si>
    <t>Involvement of infectious disease doctors in consultations and prescribtion of  ART.</t>
  </si>
  <si>
    <t>Consultation of a social worker on side effects</t>
  </si>
  <si>
    <t>Filling the form for side effects</t>
  </si>
  <si>
    <t>Providing access to hepatitis B vaccination for people living with HIV</t>
  </si>
  <si>
    <t>136M</t>
  </si>
  <si>
    <t>Diagnosis of hepatitis B surface antigen
Hepatitis B surface antigen test (100% coverage)</t>
  </si>
  <si>
    <t>Diagnosis of antibodies to hepatitis B nuclear antigen
Test for antibodies to hepatitis B nuclear antigen (100% coverage)</t>
  </si>
  <si>
    <t>Diagnosis hepatitis B DNA PCR (40% coverage)</t>
  </si>
  <si>
    <t>Consultation of a social worker and support (4 consultations on 0,5 hours)</t>
  </si>
  <si>
    <t>Diagnosis for PLHIV in whom HCV has been detected
HCV RNA test (PCR)</t>
  </si>
  <si>
    <t>Concomitant diagnosis (as prescribed by a doctor)
Liver tests</t>
  </si>
  <si>
    <t>Evaluation of treatment effectiveness, HCV RNA test (PCR)</t>
  </si>
  <si>
    <t>Social worker consultations</t>
  </si>
  <si>
    <t>Diagnostic support of HCV treatment
Cartridges for Gene Expert (coverage of 770 people, diagnosis is made twice: to confirm the diagnosis and after treatment)</t>
  </si>
  <si>
    <t>Concomitant diagnosis (as prescribed by a doctor)</t>
  </si>
  <si>
    <t>Social worker consultation</t>
  </si>
  <si>
    <t>Doctor consultation</t>
  </si>
  <si>
    <t>Transportation of biomaterials (blood for diagnostics)</t>
  </si>
  <si>
    <t>Motivation for client</t>
  </si>
  <si>
    <t>138М (перехідні)</t>
  </si>
  <si>
    <t>Сервіс</t>
  </si>
  <si>
    <t>опис</t>
  </si>
  <si>
    <t xml:space="preserve">Diagnostic support of HCV treatment (once after treatment)
</t>
  </si>
  <si>
    <t>Activitiy</t>
  </si>
  <si>
    <t>Description</t>
  </si>
  <si>
    <t>Price, Y1</t>
  </si>
  <si>
    <t>Quantity, Y1</t>
  </si>
  <si>
    <t>Quantity, Y2</t>
  </si>
  <si>
    <t>Quantity, Y3</t>
  </si>
  <si>
    <t xml:space="preserve">Citilights </t>
  </si>
  <si>
    <t>Citilights (design, printing, placement), Ukraine</t>
  </si>
  <si>
    <t>cost for 1 item</t>
  </si>
  <si>
    <t>Video creation (social advertise)</t>
  </si>
  <si>
    <t xml:space="preserve">Production </t>
  </si>
  <si>
    <t>Video creation (educational)</t>
  </si>
  <si>
    <t>Production</t>
  </si>
  <si>
    <t>Contextual advertising</t>
  </si>
  <si>
    <t>Payment for contextual advertising</t>
  </si>
  <si>
    <t>cost for 1 click</t>
  </si>
  <si>
    <t>Payment for contextual advertising and PR materials</t>
  </si>
  <si>
    <t>Fee for maintenance</t>
  </si>
  <si>
    <t>Making an audio for radio</t>
  </si>
  <si>
    <t>Design</t>
  </si>
  <si>
    <t>Payment for design</t>
  </si>
  <si>
    <t xml:space="preserve">Branding materials </t>
  </si>
  <si>
    <t>Banners</t>
  </si>
  <si>
    <t>Leaflets, brochures</t>
  </si>
  <si>
    <t>Researches</t>
  </si>
  <si>
    <t>Payment for researching</t>
  </si>
  <si>
    <t>Focus group</t>
  </si>
  <si>
    <t>Monitoring</t>
  </si>
  <si>
    <t>Payment for the service</t>
  </si>
  <si>
    <t>Promotion posts in social media (FB, Insta, youtube), coverage</t>
  </si>
  <si>
    <t>cost for 1 user</t>
  </si>
  <si>
    <t>Website creation</t>
  </si>
  <si>
    <t>SEO-optimization</t>
  </si>
  <si>
    <t>cost for 1 month of service</t>
  </si>
  <si>
    <t>Strategic session</t>
  </si>
  <si>
    <t>Payment for service of holding the strategic session</t>
  </si>
  <si>
    <t>Creation strategy</t>
  </si>
  <si>
    <t>Support strategy implementation</t>
  </si>
  <si>
    <t>Payment for consultancy fee</t>
  </si>
  <si>
    <t>cost for 1 consultant fee</t>
  </si>
  <si>
    <t>Update strategy</t>
  </si>
  <si>
    <t>TOR Team</t>
  </si>
  <si>
    <r>
      <rPr>
        <b/>
        <sz val="11"/>
        <color rgb="FF000000"/>
        <rFont val="Arial"/>
        <family val="2"/>
        <charset val="204"/>
      </rPr>
      <t xml:space="preserve"> incl.:</t>
    </r>
    <r>
      <rPr>
        <sz val="11"/>
        <color rgb="FF000000"/>
        <rFont val="Arial"/>
        <family val="2"/>
        <charset val="204"/>
      </rPr>
      <t xml:space="preserve"> Business analysys, requirements actualization, open-source solution testing, scaling, load stress-testing, architecture development</t>
    </r>
  </si>
  <si>
    <t>Consultant</t>
  </si>
  <si>
    <t>Unit cost</t>
  </si>
  <si>
    <t>total</t>
  </si>
  <si>
    <t xml:space="preserve">Comment </t>
  </si>
  <si>
    <t>Technical Lead</t>
  </si>
  <si>
    <t>https://jobs.dou.ua/salaries/</t>
  </si>
  <si>
    <t>Business analyst 1</t>
  </si>
  <si>
    <t>Business analyst 2</t>
  </si>
  <si>
    <t>Business analyst 3</t>
  </si>
  <si>
    <t>DevOps 1</t>
  </si>
  <si>
    <t>DevOps 2</t>
  </si>
  <si>
    <t>TOR total</t>
  </si>
  <si>
    <t>Development Team</t>
  </si>
  <si>
    <t>incl.: development, setup, testing, migration, launch</t>
  </si>
  <si>
    <t>Developer 1</t>
  </si>
  <si>
    <t>hour</t>
  </si>
  <si>
    <t xml:space="preserve">Unit cost is based on outsourcing rate, average across the team (from junior dev to architect and lead). The level of effort and team specialists' estimate is based on previous experience while developing eHealth, Central103, MIS HIV, Data-check etc. This is "minimum" estimate and in the amount of lack of specialists we will consider extension within cost-share with other donors (USAID, UNDP) as well as input from State Enterprise "eHealth" </t>
  </si>
  <si>
    <t>Developer 2</t>
  </si>
  <si>
    <t>Developer 3</t>
  </si>
  <si>
    <t>Developer 4</t>
  </si>
  <si>
    <t>Developer 5</t>
  </si>
  <si>
    <t>Developer 6</t>
  </si>
  <si>
    <t>Developer 7</t>
  </si>
  <si>
    <t>Developer 8</t>
  </si>
  <si>
    <t>Developer 9</t>
  </si>
  <si>
    <t>Developer 10</t>
  </si>
  <si>
    <t>Developer 11</t>
  </si>
  <si>
    <t>Development total</t>
  </si>
  <si>
    <t xml:space="preserve">Support </t>
  </si>
  <si>
    <t>unit</t>
  </si>
  <si>
    <t>System support</t>
  </si>
  <si>
    <t>International trips</t>
  </si>
  <si>
    <t>Sum</t>
  </si>
  <si>
    <t xml:space="preserve">The primary option is to build LMIS system on the basis of open-source free solution - Open LMIS. Open LMIS was rated “Fully Compliant” with  Target Software Standards (TSS) and “strongly recommended for consideration to improve supply chain data management” jointly by Gavi, The Global Fund, USAID, UNDP, and the Bill &amp; Melinda Gates Foundation. 
Open LMIS is developed within Open Health Information Exchange (OHIE) initiative which is based on a very similar architecture as Ukrainian eHealth is. Interantional visits are planned to OHIE international events. It will allow Ukrainian project team to establish direct communications and experience exchange with Open LMIS developers, ensure their support and assistance.  </t>
  </si>
  <si>
    <t>Int. trips total</t>
  </si>
  <si>
    <t>Grand total</t>
  </si>
  <si>
    <t>outsourcing rate, average across the team (from junior dev to architect and lead)</t>
  </si>
  <si>
    <t>GR</t>
  </si>
  <si>
    <t>adoption by MEDT</t>
  </si>
  <si>
    <t>GR consultant</t>
  </si>
  <si>
    <t>GR total</t>
  </si>
  <si>
    <t>Unit, UAH</t>
  </si>
  <si>
    <t xml:space="preserve">Establishment of licence soft in each lab, technical launch of LIMS, analysers connection, technical support to users </t>
  </si>
  <si>
    <t>cost per 1 lab</t>
  </si>
  <si>
    <t>LIS MIS</t>
  </si>
  <si>
    <t>9.1 IT - computers, computer equipment, software and applications</t>
  </si>
  <si>
    <t>Consultancy support of regional consultants for LIMS introduction in each lab</t>
  </si>
  <si>
    <t>cost per 1 lab (1 consultant 6 month per lab)</t>
  </si>
  <si>
    <t>PC set with neworking equipment
Bar code printers and readers</t>
  </si>
  <si>
    <t>PC set with networking equipment 8 per 1 lab
Bar code printers with stickers 2 and readers 10 per 1 lab</t>
  </si>
  <si>
    <t>LIMS technical support including connecting new analysers, development of new reporting forms, development of new functionalities in response to emerging needs, including E-Health intergartion</t>
  </si>
  <si>
    <t>19500 per 1 lab</t>
  </si>
  <si>
    <t>LIMS user trainings and trainings for administrators</t>
  </si>
  <si>
    <t>2 day regional training for 15 participants 39000</t>
  </si>
  <si>
    <t xml:space="preserve">TA visits to labs </t>
  </si>
  <si>
    <t>2 people / 5 days / per 1 lab (cost 11845)</t>
  </si>
  <si>
    <t>cost per 1 lab (total 25 labs)</t>
  </si>
  <si>
    <t>LIS TB</t>
  </si>
  <si>
    <t>cost per 1 lab (1 consultant 6 month 1000USD gross per 1 month)</t>
  </si>
  <si>
    <t>PC set with networking equipment 36329 *8 per 1 lab
Bar code printers with stickers (UAH 10500 *2 and readers UAH 2000*10) per 1 lab</t>
  </si>
  <si>
    <t>UAH 19500 per 1 lab</t>
  </si>
  <si>
    <t>Data Centre services to process LIMS data</t>
  </si>
  <si>
    <t>estimated cost per 1 month
year 1 UAH 54000 (2000 USD)
year 2 UAH 74000 (2740 USD)
year 3 UAH 94000 (3480 USD)</t>
  </si>
  <si>
    <t>LIMS installation in HIV labs (without license, was already procured by CDC project)</t>
  </si>
  <si>
    <t>System adaptation for particlar laboratory needs, customization</t>
  </si>
  <si>
    <t xml:space="preserve">Data import </t>
  </si>
  <si>
    <t>Connecting analysers to LIMS</t>
  </si>
  <si>
    <t>Conducting onsight trainings for lab users and administrator</t>
  </si>
  <si>
    <t>Extended technical support to users during one month, customization of reports</t>
  </si>
  <si>
    <t>Update of functionalities / development of new functionalities upon needs</t>
  </si>
  <si>
    <t>Service fee after installation</t>
  </si>
  <si>
    <t>LIMS installation in HIV labs without license UAH 1500000 total</t>
  </si>
  <si>
    <t>LIMS license</t>
  </si>
  <si>
    <t>LIMS introduction in labs performing clinical monitoring of HIV infection (AIDS centers, regional public health centers) in 13 non-PEPFAR regions</t>
  </si>
  <si>
    <t>Establishment of LIMS licence soft in each lab</t>
  </si>
  <si>
    <t xml:space="preserve">The activities include technical launch of LIS, analysers connection, technical support to users, training by the soft developer, etc. </t>
  </si>
  <si>
    <t>Hardware package for labs</t>
  </si>
  <si>
    <t xml:space="preserve">LIMS updates </t>
  </si>
  <si>
    <t>LIMS updates technical support including connecting new analysers, development of new reporting forms, development of new functionalities in response to emerging needs, including E-Health intergartion</t>
  </si>
  <si>
    <t>LIMS user trainings</t>
  </si>
  <si>
    <t>Training for LIMS users and administrotors will be conducted for the staff of each lab by the LIMS liscence supplier.</t>
  </si>
  <si>
    <t>Data Centre services</t>
  </si>
  <si>
    <t xml:space="preserve">Data Centre services to process LIMS data. </t>
  </si>
  <si>
    <t xml:space="preserve">TA visits will be provided by the central office staff to support and monitor LIMS introduction and use </t>
  </si>
  <si>
    <t>DATACHECK update and new modules development, client application updates, integration activities, reporting forms updates, etc.</t>
  </si>
  <si>
    <t xml:space="preserve">Cost for 1 new module / functionality </t>
  </si>
  <si>
    <t>Data Centre services to process DATACHECK data</t>
  </si>
  <si>
    <t xml:space="preserve">estimated cost per 1 month
 UAH 54000 (2000 USD)
</t>
  </si>
  <si>
    <t>Support for sending push-notifications to clients (SMS, viber,telegram, etc.)</t>
  </si>
  <si>
    <t>UAH 0.36*50000 SMS per month</t>
  </si>
  <si>
    <t>Providing social workers with mobile phones and  power banks</t>
  </si>
  <si>
    <t>8 sets per 1 region</t>
  </si>
  <si>
    <t>Training for DATACHECK  regional administrators (administration and setting, new modules, data alalysis, power BI usage for data visualization, etc.)</t>
  </si>
  <si>
    <t xml:space="preserve">3 day training for 25 people </t>
  </si>
  <si>
    <t>Behavioral practices of PLWH (research)</t>
  </si>
  <si>
    <t>Activity Description</t>
  </si>
  <si>
    <t>Item Description</t>
  </si>
  <si>
    <t>Payment Currency</t>
  </si>
  <si>
    <t>Unit Cost (Payment Currency)</t>
  </si>
  <si>
    <t>Number of persons</t>
  </si>
  <si>
    <t>Duration (days)</t>
  </si>
  <si>
    <t>Total Nbr of Person-Days</t>
  </si>
  <si>
    <t>Total Cost, UAH</t>
  </si>
  <si>
    <t>revision a research protocol</t>
  </si>
  <si>
    <t>revision of research tools</t>
  </si>
  <si>
    <t>obtaining ethical review protocol and tools</t>
  </si>
  <si>
    <t>external experts (representatives in the region, preparing lists of patients for random selection of respondents)</t>
  </si>
  <si>
    <t>piloting of research tools</t>
  </si>
  <si>
    <t>modifying of a research protocol and instruments after piloting</t>
  </si>
  <si>
    <t>print research tools and attendant documentation</t>
  </si>
  <si>
    <t>instruction coordinators for data collection in the field survey</t>
  </si>
  <si>
    <t>instructions for interviewers</t>
  </si>
  <si>
    <t>data collection (data collection coordinator on-site survey, reward respondents)</t>
  </si>
  <si>
    <t>travel</t>
  </si>
  <si>
    <t>quality control data (external and internal)</t>
  </si>
  <si>
    <t>training, entering and processing data</t>
  </si>
  <si>
    <t>training frequency distribution tables and cross-tabulated tables (national level and for each region separately)</t>
  </si>
  <si>
    <t>preparation of a report on the progress of research</t>
  </si>
  <si>
    <t>preparation of analytical reports and presentations</t>
  </si>
  <si>
    <t>Survey</t>
  </si>
  <si>
    <t>Сoordination of study  (National)</t>
  </si>
  <si>
    <t>Сoordination of study  (6 regions, 8 month)</t>
  </si>
  <si>
    <t>Training and coordination meetings</t>
  </si>
  <si>
    <t>Deck review (Testing Policy and Protocol Review )</t>
  </si>
  <si>
    <t>In depth interview with  stuff (regions)</t>
  </si>
  <si>
    <t>Online survey add</t>
  </si>
  <si>
    <t>Interview  with experts</t>
  </si>
  <si>
    <t>Qualitative data entry and codding (180 interview,  10 expert interviews)</t>
  </si>
  <si>
    <t>Preparation of analytical reports and presentations</t>
  </si>
  <si>
    <t>Quantity, Y</t>
  </si>
  <si>
    <t>Cost, Y</t>
  </si>
  <si>
    <t>Y</t>
  </si>
  <si>
    <t>PLWH community internships in Ukraine</t>
  </si>
  <si>
    <t>PLWH community conference</t>
  </si>
  <si>
    <t>Meeting of the Council of chairmen of boards of the PLWH community</t>
  </si>
  <si>
    <t>Meeting of the Coordination council of PLWH community</t>
  </si>
  <si>
    <t>International visits</t>
  </si>
  <si>
    <t>Trainings for the PLWH community</t>
  </si>
  <si>
    <t>Developing a Community Capacity Development Assessment Tool</t>
  </si>
  <si>
    <t>Tool development</t>
  </si>
  <si>
    <t>Web design Assessment Tool</t>
  </si>
  <si>
    <t>9 focus groups with each key communities</t>
  </si>
  <si>
    <t>Mentoring support for communities</t>
  </si>
  <si>
    <t>Community mentoring visits</t>
  </si>
  <si>
    <t>Program development and sustainability trainings</t>
  </si>
  <si>
    <t>Consultant on community sustainability strategy development</t>
  </si>
  <si>
    <t>Round table</t>
  </si>
  <si>
    <t>NGO management application maintenance</t>
  </si>
  <si>
    <t>contract</t>
  </si>
  <si>
    <t>NGO management modules development consultant</t>
  </si>
  <si>
    <t>Consultant on Democratic Processes and Mediation</t>
  </si>
  <si>
    <t>International visits and internships</t>
  </si>
  <si>
    <t>Trainings for key communities representatives</t>
  </si>
  <si>
    <t>Support of the Secretariat of the Platform (three consultants)</t>
  </si>
  <si>
    <t>Organizing annual Forum of Key Communities Platform</t>
  </si>
  <si>
    <t>Support of the web-site of the Key Communities Platform</t>
  </si>
  <si>
    <t>Trainings for priests, monks, religious figures</t>
  </si>
  <si>
    <t>Meetings of priests with communities (national and regional levels)</t>
  </si>
  <si>
    <t>Conference of NGOs and religious leaders</t>
  </si>
  <si>
    <t>Printed materials</t>
  </si>
  <si>
    <t>Consultant on work with religious communities on topics of HIV and tolerance to vulnerable communities.</t>
  </si>
  <si>
    <t>Participation in international events</t>
  </si>
  <si>
    <t>149M</t>
  </si>
  <si>
    <t>Supervisor of legal consultants</t>
  </si>
  <si>
    <t xml:space="preserve">Supervisor of community representatives </t>
  </si>
  <si>
    <t>School of Power</t>
  </si>
  <si>
    <t>Work meetings</t>
  </si>
  <si>
    <t xml:space="preserve">Platform community representatives </t>
  </si>
  <si>
    <t>Technical support visits</t>
  </si>
  <si>
    <t>Consultants on 7 directions of changes of  legal acts 7 directions of changes of  legal acts</t>
  </si>
  <si>
    <t>days</t>
  </si>
  <si>
    <t>Procurement of computer equipment</t>
  </si>
  <si>
    <t>Regional representative</t>
  </si>
  <si>
    <t xml:space="preserve">Training on communty based fundraising </t>
  </si>
  <si>
    <t>Training on budget advocacy</t>
  </si>
  <si>
    <t>Training on decriminalization of PUD</t>
  </si>
  <si>
    <t>Training: Strategic planning</t>
  </si>
  <si>
    <t>National forum of People who use drugs</t>
  </si>
  <si>
    <t>Informational meetings for initiative groups</t>
  </si>
  <si>
    <t>National advocacy events</t>
  </si>
  <si>
    <t>Strengthening of the regional branches of ex-prisoners community</t>
  </si>
  <si>
    <t>Training on mobilization of representatives of the ex-prisoners community with expansion of activity in all regions of Ukraine and advocacy of rights</t>
  </si>
  <si>
    <t>Conducting national presentation events with the participation of key stakeholders in the implementation of approaches and services in the preparation of prisoners for release (conference)</t>
  </si>
  <si>
    <t>Provide technical assistance to the leaders of the community of ex-prisoners in all regions of Ukraine in order to increase their competence in representation of interests, cooperation with the authorities, management, leadership, quality of services, etc.</t>
  </si>
  <si>
    <t>Conducting a constituent working meeting</t>
  </si>
  <si>
    <t>Visit to exchange experience on implementation of innovative models of work with convicted and released persons</t>
  </si>
  <si>
    <t>Advocacy planning working meeting</t>
  </si>
  <si>
    <t>Support of the activities of regional branches</t>
  </si>
  <si>
    <t>Trainings on leadership and advocacy</t>
  </si>
  <si>
    <t>Forum of sex-workers community</t>
  </si>
  <si>
    <t>Mobilization of sex-workers community</t>
  </si>
  <si>
    <t>Legislative activities to change legislation in the field of sex work</t>
  </si>
  <si>
    <t>Regional representatives of community of adolescents living with HIV</t>
  </si>
  <si>
    <t>Mobilization consultants</t>
  </si>
  <si>
    <t>Regional visits of administrative support and monitoring</t>
  </si>
  <si>
    <t>Digital technologies specialist for creating informational and motivational content</t>
  </si>
  <si>
    <t>National forum of adolescents living with HIV</t>
  </si>
  <si>
    <t>Educational events (trainings, seminars, forums) for leaders and activists of the community</t>
  </si>
  <si>
    <t>Trainings for representatives of 9 communities "Protecting community rights and training paralegals"</t>
  </si>
  <si>
    <t>Visits of operational monitoring of LGBT/MSM activities</t>
  </si>
  <si>
    <t>Ensuring provision of urgent paralegal assistance</t>
  </si>
  <si>
    <t>Presentation of reports on the results of network monitoring</t>
  </si>
  <si>
    <t>Information campaign for relevant community networks (for 9 communities)</t>
  </si>
  <si>
    <t>campaign</t>
  </si>
  <si>
    <t>Paralegal consultants from relevant networks of 9 communities</t>
  </si>
  <si>
    <t>Consultant on project coordination and program support</t>
  </si>
  <si>
    <t>Legal consultant</t>
  </si>
  <si>
    <t>Design of reports</t>
  </si>
  <si>
    <t>publication</t>
  </si>
  <si>
    <t>Консультації психолога (індивідуальні)</t>
  </si>
  <si>
    <t>консультація</t>
  </si>
  <si>
    <t>210,93 грн</t>
  </si>
  <si>
    <t>134995 грн.</t>
  </si>
  <si>
    <t>Cost, Y2</t>
  </si>
  <si>
    <t>Cost, Y3</t>
  </si>
  <si>
    <t>Educational activities (Leadership school, physical and information security training, etc.</t>
  </si>
  <si>
    <t xml:space="preserve">National LGBTI conferenceНаціональна ЛГБТІ-конференція України </t>
  </si>
  <si>
    <t>Strategic planning for MSM communities</t>
  </si>
  <si>
    <t>Round tables with authorities</t>
  </si>
  <si>
    <t>Consultant on lobbying national legislative initiatives</t>
  </si>
  <si>
    <t>Technical assistance visits</t>
  </si>
  <si>
    <t>Sudy tours across regions</t>
  </si>
  <si>
    <t>Support of MSM focal points in regions</t>
  </si>
  <si>
    <t>Retraining courses for women who experience violence and apply for help</t>
  </si>
  <si>
    <t>Advocacy activities of regional representatives</t>
  </si>
  <si>
    <t>Educational trainings/seminars</t>
  </si>
  <si>
    <t>Development and publication of methodological checklists/guides for women in situations of violence</t>
  </si>
  <si>
    <t>Development of the program</t>
  </si>
  <si>
    <t>Trainings on WHO protocols for leaders of women living with HIV</t>
  </si>
  <si>
    <t>Preparation of documentation, analytical reports, international and shadow reports</t>
  </si>
  <si>
    <t>Promotion of posts on FB – 54600UAH</t>
  </si>
  <si>
    <t>Community advocacy</t>
  </si>
  <si>
    <t>Gender audit</t>
  </si>
  <si>
    <t>Developing and organizing events in the region (15 regions)</t>
  </si>
  <si>
    <t>Development, printing, distribution of materials</t>
  </si>
  <si>
    <t>Strengthening capacity and leadership skills of TB community representatives to participate effectively in ensuring sustainability of regional TB Programs: two two-day trainings every six months.</t>
  </si>
  <si>
    <t>Carrying out activities among mass media representatives to support coverage of the transformation of the TB care system: every year, a press lunch for 10 mass media representatives in each oblast</t>
  </si>
  <si>
    <t xml:space="preserve">Events to reduce the stigma and discrimination of TB patients and groups vulnerable to TB through training of medical school students: seminars for 100 medical school students in each oblast. </t>
  </si>
  <si>
    <t>Conducting information campaigns (production and broadcasting videos (different each year) on national and local TV, posting videos on the Internet, developing and promoting social advertising in all regions, distribution of posters, stickers, leaflets, etc. with the support of regional public health centers and regional non-governmental partners.</t>
  </si>
  <si>
    <t>Support of social media and networks, external consultant involved</t>
  </si>
  <si>
    <t>Payment for Design</t>
  </si>
  <si>
    <t>Production and broadcasting videos</t>
  </si>
  <si>
    <t>Printing leaflets and stickers</t>
  </si>
  <si>
    <t>Promotion of posts on FB</t>
  </si>
  <si>
    <t>10.3 Promotional Material (t-shirts, mugs, pins...) and other CMP costs</t>
  </si>
  <si>
    <t>IV, V and VI National Conferences on TB</t>
  </si>
  <si>
    <t>Regional Representatives: ensure that the TB community representatives participate in the process of development, planning, and implementation of regional programs, policies, etc.</t>
  </si>
  <si>
    <t>Brand platform</t>
  </si>
  <si>
    <t>Development of brand platform</t>
  </si>
  <si>
    <t>Creating a visual component of community activity.</t>
  </si>
  <si>
    <t>Production of branded elements and products to improve 
communication and community awareness</t>
  </si>
  <si>
    <t>Branded T-shirts</t>
  </si>
  <si>
    <t>Production of branded elements and products</t>
  </si>
  <si>
    <t>Branded booth</t>
  </si>
  <si>
    <t>Branded pens</t>
  </si>
  <si>
    <t>Branded notepads</t>
  </si>
  <si>
    <t>Branded business cards</t>
  </si>
  <si>
    <t>Production of visual branded products to demonstrate the
main parts of community activities</t>
  </si>
  <si>
    <t>Banners, roll-ups</t>
  </si>
  <si>
    <t>Branded brandwalls</t>
  </si>
  <si>
    <t>Branded mugs</t>
  </si>
  <si>
    <t xml:space="preserve">Production of visual branded products </t>
  </si>
  <si>
    <t>Badge rebands</t>
  </si>
  <si>
    <t>Office navigation elements</t>
  </si>
  <si>
    <t>SEO and Google Map Optimization services</t>
  </si>
  <si>
    <t>Website promotion and promotion of pages in social 
networks</t>
  </si>
  <si>
    <t>cost for 1 hour</t>
  </si>
  <si>
    <t>Stage 1. Work on the protocol and supporting documents</t>
  </si>
  <si>
    <t>Stage 2. Preparation of the questionnaire. Review by the ethics committee. Its completion based on the results of review. Obtaining a decision</t>
  </si>
  <si>
    <t>Stage 3. Conducting training for research coordinators and interviewers on the implementation of the survey, etc.</t>
  </si>
  <si>
    <t>Stage 4. Collection of empirical data</t>
  </si>
  <si>
    <t>Stage 5. Entry and systematization of empirical data</t>
  </si>
  <si>
    <t>Stage 6. Data analysis and writing of analytical and technical reports</t>
  </si>
  <si>
    <t xml:space="preserve">8 trainings - 200 people </t>
  </si>
  <si>
    <t xml:space="preserve">monitoring visits by the national preventive mechanism and the monitoring committees in the colony </t>
  </si>
  <si>
    <t>Experts involved</t>
  </si>
  <si>
    <t>Printing and distribution of the of the report on compliance of the human rights of prisoners</t>
  </si>
  <si>
    <t>piblication</t>
  </si>
  <si>
    <t>Advocacy (trainings, workshops, conferences, etc.)</t>
  </si>
  <si>
    <t>Technical and expert assistance (experts and consultants involved)</t>
  </si>
  <si>
    <t>144M</t>
  </si>
  <si>
    <t>Conducting advocacy events (trainings, workshops, conferences, etc.)</t>
  </si>
  <si>
    <t>The analysis of current models efficiency, the description of basic and advanced package of services that will be included to the mechanism of government procurements of the PHC of MOH of Ukraine and to the mechanism of social services procurement of the Ministry of Social Policy of Ukraine;</t>
  </si>
  <si>
    <t>The description of the algorithms of the model of transition plan implementation for TB patients services;</t>
  </si>
  <si>
    <t>The development of the standard of social support provision for TB patients</t>
  </si>
  <si>
    <t>Series of trainings (2-day event)</t>
  </si>
  <si>
    <t>consultants in advocacy</t>
  </si>
  <si>
    <t>Design, printing and distribution of information materials (posters, brochures, booklets, etc.)</t>
  </si>
  <si>
    <t>Dissemination of the use of an electronic monitoring tool based on the TB community (OneImpact): typography and printing of instructions (Instructions for use of the mobile application for patients (1000 pieces in each region), Instructions for use of the mobile application for medical workers (500 pieces in each region), Instructions for using the mobile application for the cabinet administrator)</t>
  </si>
  <si>
    <t xml:space="preserve">Layout of the instruction for the patient - 1000 UAH, printing: circulation of 1000 pieces, covering Barkhlam 1 + 1, material Ispira saggezza 360, cost together with delivery 40 000 UAH. </t>
  </si>
  <si>
    <t xml:space="preserve">Layout of instructions for doctors - 2000 hryvnias, printing: circulation 500 pieces, covering Barkhlam 1 + 1, material Plike 2s red 330, cost together with delivery 50 000 hryvnias. </t>
  </si>
  <si>
    <t xml:space="preserve">Layout of instructions for office administrators - UAH 1,600, printing: circulation 50 pcs., covering Barkhlam 1 + 1, material Dali candido 285, cost together with delivery UAH 8,000. </t>
  </si>
  <si>
    <t>Layout of boards - 10 000 UAH, printing: circulation 33 pcs., Cost together with delivery 52107 UAH (1579 UAH / pc)</t>
  </si>
  <si>
    <t>Technical support for the operation of an electronic monitoring tool based on the TB community (OneImpact): payment for call center employees</t>
  </si>
  <si>
    <t>Conducting a series of trainings, two two-day trainings annually (2 trainings * 25 people)</t>
  </si>
  <si>
    <t>Facilitator's fee for Training of TB patients undergoing treatment to use OneImpact in the context of ensuring their rights: one event in 25 hospitals (monthly for 9 months per year)</t>
  </si>
  <si>
    <t>Equipment for access to OneImpact for patients who are in hospitals, ensuring the availability of Internet access in hospitals</t>
  </si>
  <si>
    <t>Visits of the national monitoring group with the involvement of the TB community to regions where barriers arise / the rights of TB patients are violated</t>
  </si>
  <si>
    <t>Preparation and publication of national monitoring reports on existing barriers / violations of TB patients' rights</t>
  </si>
  <si>
    <t>Advocacy for changes in the legal framework for existing barriers: ensuring the work of the expert group</t>
  </si>
  <si>
    <t xml:space="preserve">10 outreach events for convicts </t>
  </si>
  <si>
    <t xml:space="preserve">5 information and educational activities for staff of penal institutions and probation </t>
  </si>
  <si>
    <t>5 Information and Educational Events for Representatives of State and Non-State Subjects of Social Patronage</t>
  </si>
  <si>
    <t>Design, printing, placement in Ukraine</t>
  </si>
  <si>
    <t>Video creation</t>
  </si>
  <si>
    <t xml:space="preserve">Video creation </t>
  </si>
  <si>
    <t xml:space="preserve"> Contextual advertising</t>
  </si>
  <si>
    <t xml:space="preserve"> Fee for maintenance</t>
  </si>
  <si>
    <t>Pament for the production</t>
  </si>
  <si>
    <t>Payment for production</t>
  </si>
  <si>
    <t>Payment for working out on focus groups</t>
  </si>
  <si>
    <t xml:space="preserve">  Creation of strategy</t>
  </si>
  <si>
    <t>5 information and educational activities</t>
  </si>
  <si>
    <t>Printed and video materials</t>
  </si>
  <si>
    <t>Video course for paralegals (10 webinars)</t>
  </si>
  <si>
    <t>Y2023</t>
  </si>
  <si>
    <t>Meeting of patients community</t>
  </si>
  <si>
    <t>PR-consultant</t>
  </si>
  <si>
    <t>Consultant on technical assistans on membership in Supervisory Boards</t>
  </si>
  <si>
    <t>Project Coordinator</t>
  </si>
  <si>
    <t>Project Manager</t>
  </si>
  <si>
    <t>Consultant on analytics</t>
  </si>
  <si>
    <t>Lawyer</t>
  </si>
  <si>
    <t>Consultant on community mobilization</t>
  </si>
  <si>
    <t>Consultant on humanitarian aid and donations coordination</t>
  </si>
  <si>
    <t>Consultant on coordination with donor partners</t>
  </si>
  <si>
    <t>Consultant on documentation</t>
  </si>
  <si>
    <t>Legal support in national courts</t>
  </si>
  <si>
    <t>case</t>
  </si>
  <si>
    <t>Legal support of ECtHR cases</t>
  </si>
  <si>
    <t>Legal support of pre-trial cases</t>
  </si>
  <si>
    <t>Legal counseling</t>
  </si>
  <si>
    <t>Modification, revision of the chat-bot platform</t>
  </si>
  <si>
    <t>Coordinator of online consultation</t>
  </si>
  <si>
    <t>Coordinator of phone consultation</t>
  </si>
  <si>
    <t>Hotline consultants-psychologists</t>
  </si>
  <si>
    <t>Hotline MSM consultants-psychologists</t>
  </si>
  <si>
    <t>Hotline doctors-consultants</t>
  </si>
  <si>
    <t>Hotline TB doctors</t>
  </si>
  <si>
    <t>IT Specialist</t>
  </si>
  <si>
    <t>Webmaster Specialist</t>
  </si>
  <si>
    <t>System administrator</t>
  </si>
  <si>
    <t>Supervision consultant</t>
  </si>
  <si>
    <t>Legal Officer</t>
  </si>
  <si>
    <t>Printing posters / leaflets etc.</t>
  </si>
  <si>
    <t>Internet advertising, outdoor advertising, advertising on TV, etc.</t>
  </si>
  <si>
    <t>Робота консультантів по розробці моделей, алгоритмів взаємодії та маршрутів пацієнта на всіх рівнях медичної допомоги</t>
  </si>
  <si>
    <t>Project assistant</t>
  </si>
  <si>
    <t>Information manager</t>
  </si>
  <si>
    <t>Consultant on intersectoral cooperation between State Penitentiary Service and MoH</t>
  </si>
  <si>
    <t>Consultant on the development and advocacy of conceptual solutions to ensure the right for health in the State Penitentiary Service institutions</t>
  </si>
  <si>
    <t>Consultant on the development of the algorithm for the funding of medical services for prisoners</t>
  </si>
  <si>
    <t>Consultant on improving the legislation towards healthcare in civil and penitentiary sectors</t>
  </si>
  <si>
    <t>Consultant on improving the system of healthcare services provision for prisoners during the process of state healthcare system reformation</t>
  </si>
  <si>
    <t>SR-NGCA-AUN</t>
  </si>
  <si>
    <t>SR-CRIMEA-AUN</t>
  </si>
  <si>
    <t>Program Management</t>
  </si>
  <si>
    <t>Type of Expense</t>
  </si>
  <si>
    <t>Cost Category</t>
  </si>
  <si>
    <t>Base Allocation</t>
  </si>
  <si>
    <t>Grant management</t>
  </si>
  <si>
    <t>PR's expenses for grant management - routine office expenses</t>
  </si>
  <si>
    <t>including audit</t>
  </si>
  <si>
    <t>PR's expenses for grant management - consultancy on project implementation</t>
  </si>
  <si>
    <t>PR's expenses for grant management, including HR, technical assistance, routine office expenses, bank fees, audit, etc.</t>
  </si>
  <si>
    <t>PR's expenses for grant management - medical insurance for project staff</t>
  </si>
  <si>
    <t>PR's expenses for grant management - project audit</t>
  </si>
  <si>
    <t>PR's expenses for grant management - bank fees (app.0,2%)</t>
  </si>
  <si>
    <t>Suputnyk</t>
  </si>
  <si>
    <t>Оцінка потреб клієнта. Складання соціального портрету. Складання індивідуального плану соціального супроводу. Виїзд/супровід пацієнта по місцю перебування для налагодження зв'язку.</t>
  </si>
  <si>
    <t>Створення мобільної/вуличної команди (Водій-охоронець) - оплата за час роботи (без витрат на пальне) з  метою доставки протитуберкульозних препаратів- (теплотраса, підвал, ринки та ін.)</t>
  </si>
  <si>
    <t>Створення мобільної/вуличної команди (Медичний працівник/соціальний працівник) ДОТ по місцю перебування клієнта з Щоденна видача гарячого харчування (сухі супи) при умові прийому протитуберкульозних препаратів.</t>
  </si>
  <si>
    <t>Консультація медичного куратора проекту з метою організації діяльності в регіоні</t>
  </si>
  <si>
    <t>Дороговартісна діагностика (КТ, ТТГ, електроліти тощо)</t>
  </si>
  <si>
    <t>Вироби медичного призначення, препарати для купування побічних явищ та для лікування алкогольної залежності</t>
  </si>
  <si>
    <t>Консультація лікаря нарколога з метою призначення лікування залежностей</t>
  </si>
  <si>
    <t>Закупівля ланч-боксів для гарячого харчування пацієнтів + обід</t>
  </si>
  <si>
    <t xml:space="preserve">Видача мотиваційного гігієнічного набору (1 раз на місяць при умові безперервного прийому протитуберкульозних препаратів) </t>
  </si>
  <si>
    <t>Вирішення індивідуальних соціальних проблем (надання інформації з питань соціального захисту населення, представництво інтересів, допомога в отриманні консультацій юриста, допомога в отриманні реєстрації місця проживання, сприяння у пошуку тимчасового житла,  сприяння у працевлаштуванні, допомога у зміцненні/відновленні родинних та суспільно-корисних зав’язків</t>
  </si>
  <si>
    <t>Оплата витрат на тимчасовий притулок(хостел/нічліжка) для 30% клієнтів</t>
  </si>
  <si>
    <t>Консультація юриста (представництво інтересів, відновлення документів, юридичні послуги тощо)</t>
  </si>
  <si>
    <t>Консультації психолога (психокорекція) з моменту встановлення діагнозу</t>
  </si>
  <si>
    <t xml:space="preserve">Витрати на пальне із розрахунку 1 л на 1 день лікування </t>
  </si>
  <si>
    <t>Закупівля транспортного засобу+ тех.обслуговування 2,3 рік (200$)</t>
  </si>
  <si>
    <t>TB preventive treatment among people in contact with TB patients</t>
  </si>
  <si>
    <t>Development of testing algorithms and routes</t>
  </si>
  <si>
    <t>Візити в регіони консультантами для проведення семінарів, моніторингу</t>
  </si>
  <si>
    <t>Робота з індексним пацієнтом (хворим на ТБ), у відношенні якого проводиться виявлення контактних осіб + Опитування для встановлення належності до кола осіб за ступенем ризику інфікування. Проведення скринінгового анкетування контактних та перенаправлення контактних на медичне обстеження до лікаря-фтизіатра, з симптоми активного туберкульозу</t>
  </si>
  <si>
    <t>Скерування та сприяння підписання декларації контактних з сімейним лікарем (за потреби) для подальшого спостереження.</t>
  </si>
  <si>
    <t>Сприяння проведення діагностики ТВГІ або ТШП та призначення лікування  для клієнтів у медичному закладі на первинці із залученням сімейних лікарів.10 % від охоплення</t>
  </si>
  <si>
    <t>Консультування клієнтів щодо, побічних реакцій лікування ЛТБІ.</t>
  </si>
  <si>
    <t>Формування навичок дотримання інфекційного контролю в осередку ТБ.</t>
  </si>
  <si>
    <t>Моніторинг прийому препарату(-ів) для лікування ЛТБІ</t>
  </si>
  <si>
    <t xml:space="preserve"> Доставка препаратів ПТП</t>
  </si>
  <si>
    <t>Detection, treatment and prevention of retinal damage among PLHIV with severe immune suppression</t>
  </si>
  <si>
    <t>Визначення кандидатів для залучення в проєкт</t>
  </si>
  <si>
    <t>Проведення додаткового лабораторного + 20% доставка</t>
  </si>
  <si>
    <t>Мотиваційне консультування соціальним працівником</t>
  </si>
  <si>
    <t>Лікування валган 196 таб/чел</t>
  </si>
  <si>
    <t>Мотивація клієнта (соц потреба)</t>
  </si>
  <si>
    <t>Непряма офтальмоскопія</t>
  </si>
  <si>
    <t>Адвокатування закупівлі послуг</t>
  </si>
  <si>
    <t>Проведення  тренінгів-практикумів по сліпоті у ВІЛ</t>
  </si>
  <si>
    <t>Побічні явища</t>
  </si>
  <si>
    <t>Участь в міжнародному навчанні</t>
  </si>
  <si>
    <t>Соціальний працівник (1 на 20 чоловік)</t>
  </si>
  <si>
    <t>Моніторинг</t>
  </si>
  <si>
    <t>Support to management of HIV co-infection in people on TB treatment</t>
  </si>
  <si>
    <t>Monitoring of adherence to ART</t>
  </si>
  <si>
    <t>psychological councelling</t>
  </si>
  <si>
    <t>Providing of the diagnostics for 30% of low-income clients (smear collection)</t>
  </si>
  <si>
    <t>Consultant on NGO capacity building</t>
  </si>
  <si>
    <t>Consultant on mentor support of NGO advocacy initiatives</t>
  </si>
  <si>
    <t>Consultant on development of methodology of Emergency package implementation</t>
  </si>
  <si>
    <t>Webinar "Emergency services package for KP"</t>
  </si>
  <si>
    <t>х</t>
  </si>
  <si>
    <t>Програма</t>
  </si>
  <si>
    <t>Budget Holder</t>
  </si>
  <si>
    <t>Категорія витрат</t>
  </si>
  <si>
    <t>Опис (англ)</t>
  </si>
  <si>
    <t>Budget Line No.</t>
  </si>
  <si>
    <t>Implementer</t>
  </si>
  <si>
    <t>Payment Modality</t>
  </si>
  <si>
    <t>Source of Funds</t>
  </si>
  <si>
    <t>Grant Name</t>
  </si>
  <si>
    <t>Currency</t>
  </si>
  <si>
    <t>Y2 Unit Cost (Payment Currency)</t>
  </si>
  <si>
    <t>Y2 Unit Cost (Grant Currency)</t>
  </si>
  <si>
    <t>Q5 Quantity</t>
  </si>
  <si>
    <t>Q5 Cash Outflow</t>
  </si>
  <si>
    <t>Q6 Quantity</t>
  </si>
  <si>
    <t>Q6 Cash Outflow</t>
  </si>
  <si>
    <t>Q7 Quantity</t>
  </si>
  <si>
    <t>Q7 Cash Outflow</t>
  </si>
  <si>
    <t>Q8 Quantity</t>
  </si>
  <si>
    <t>Q8 Cash Outflow</t>
  </si>
  <si>
    <t>Y2 Total Quantity</t>
  </si>
  <si>
    <t>Y2 Total Cash Outflow</t>
  </si>
  <si>
    <t>b</t>
  </si>
  <si>
    <t>Assumptions to Support Unit Cost</t>
  </si>
  <si>
    <t>Justification/Comments</t>
  </si>
  <si>
    <t>e</t>
  </si>
  <si>
    <t>Comments 1 - PR</t>
  </si>
  <si>
    <t>Comments 2 - PR</t>
  </si>
  <si>
    <t>Comments 3 - PR</t>
  </si>
  <si>
    <t>Comments 4 - PR</t>
  </si>
  <si>
    <t>21_CRM001</t>
  </si>
  <si>
    <t>2021_GF01</t>
  </si>
  <si>
    <t>Дзвонковська Олена Леонідівна</t>
  </si>
  <si>
    <t>1.1.HR</t>
  </si>
  <si>
    <t>Program management salaries for Uninterrupted and safe provision of HIV services by multidisciplinary team under quarantine restrictions</t>
  </si>
  <si>
    <t>SR-AUN</t>
  </si>
  <si>
    <t>Non applicable</t>
  </si>
  <si>
    <t>Approved Funding</t>
  </si>
  <si>
    <t>UKR-C-AUN</t>
  </si>
  <si>
    <t>Local</t>
  </si>
  <si>
    <t>Detailed workings</t>
  </si>
  <si>
    <t>H25</t>
  </si>
  <si>
    <t>a</t>
  </si>
  <si>
    <t>ТЗ2021</t>
  </si>
  <si>
    <t>201М</t>
  </si>
  <si>
    <t>21_CRM002</t>
  </si>
  <si>
    <t>1.2.HR</t>
  </si>
  <si>
    <t>Service providers salaries for Uninterrupted and safe provision of HIV services by multidisciplinary team under quarantine restrictions</t>
  </si>
  <si>
    <t>21_CRM003</t>
  </si>
  <si>
    <t>11.1.OH</t>
  </si>
  <si>
    <t>Office related costs for Uninterrupted and safe provision of HIV services by multidisciplinary team under quarantine restrictions</t>
  </si>
  <si>
    <t>21_CRM004</t>
  </si>
  <si>
    <t>12.2.SR/LSC</t>
  </si>
  <si>
    <t>Food and care packages for Uninterrupted and safe provision of HIV services by multidisciplinary team under quarantine restrictions</t>
  </si>
  <si>
    <t>Average cost of support package per person per quarter</t>
  </si>
  <si>
    <t>21_CRM005</t>
  </si>
  <si>
    <t>2.5.TRC</t>
  </si>
  <si>
    <t>21_CRM006</t>
  </si>
  <si>
    <t>Program management salaries for ART delivery under quarantine restrictions in non-PEPFAR regions</t>
  </si>
  <si>
    <t>H26</t>
  </si>
  <si>
    <t>202М</t>
  </si>
  <si>
    <t>21_CRM007</t>
  </si>
  <si>
    <t>Service providers salaries for ART delivery under quarantine restrictions in non-PEPFAR regions</t>
  </si>
  <si>
    <t>21_CRM008</t>
  </si>
  <si>
    <t>Office related costs for ART delivery under quarantine restrictions in non-PEPFAR regions</t>
  </si>
  <si>
    <t>21_CRM009</t>
  </si>
  <si>
    <t>Program management salaries to addressing the transportation gap for clients of interventions implemented in frame of ongoing TGF grant</t>
  </si>
  <si>
    <t>H27</t>
  </si>
  <si>
    <t>203М</t>
  </si>
  <si>
    <t>21_CRM010</t>
  </si>
  <si>
    <t>Office related costs for Addressing the transportation gap for clients of interventions implemented in frame of ongoing TGF grant</t>
  </si>
  <si>
    <t>21_CRM011</t>
  </si>
  <si>
    <t>Food and care packages for Addressing the transportation gap for clients of interventions implemented in frame of ongoing TGF grant</t>
  </si>
  <si>
    <t>21_CRM015</t>
  </si>
  <si>
    <t>Program management salaries for immunological examinations for PLHIV in penitentiary system</t>
  </si>
  <si>
    <t>P10</t>
  </si>
  <si>
    <t>ТЗ2022</t>
  </si>
  <si>
    <t>205M
206M</t>
  </si>
  <si>
    <t xml:space="preserve">1. Интервенция "Обстеження на маркери  опортуністичних інфекцій( Ig M,  Ig G, ПЦР) та\або проведення обстеження КТ\МРТ для ВІЛ-позитивних ув язнених".
Охват 700 по строке коста 
Оплата  вартості обстеження на маркери  опортуністичних інфекцій( Ig M,  Ig G, ПЦР)
 и охват 200 по строке коста 
Оплата  вартості обстеження на МТР/КТ
</t>
  </si>
  <si>
    <t>21_CRM016</t>
  </si>
  <si>
    <t>Service providers salaries for Procurement of immunological examinations for PLHIV in penitentiary system</t>
  </si>
  <si>
    <t>1. Интервенция "Обстеження на маркери  опортуністичних інфекцій( Ig M,  Ig G, ПЦР) та\або проведення обстеження КТ\МРТ для ВІЛ-позитивних ув язнених".
Для этой интервенции в юнит-кост должны отойти две строки коста Р10, а именно:
Detailed Budget Template
Складові одиниця виміру Вартість за одиницю, грн
Оплата  вартості обстеження на маркери  опортуністичних інфекцій( Ig M,  Ig G, ПЦР) дослідження 740
Оплата  вартості обстеження на МТР/КТ   1 460
Естественно нужно добавить з\п и админы
Охват 900 клиентов
2. Остальные строки коста Р10 остаются в интервенции "Створення доступу до лабораторного та соціального супровіду  для ВІЛ-інфікованих в ДКВСУ  до імунологічних обстежень (CD 4)".</t>
  </si>
  <si>
    <t>21_CRM017</t>
  </si>
  <si>
    <t>Office related costs for Procurement of immunological examinations for PLHIV in penitentiary system</t>
  </si>
  <si>
    <t>21_CRM018</t>
  </si>
  <si>
    <t>Procurement of immunological examinations for PLHIV in penitentiary system</t>
  </si>
  <si>
    <t>21_CRM019</t>
  </si>
  <si>
    <t>3.4.TA</t>
  </si>
  <si>
    <t>External professional services for Procurement of immunological examinations for PLHIV in penitentiary system</t>
  </si>
  <si>
    <t>21_CRM020</t>
  </si>
  <si>
    <t>11.4.OH</t>
  </si>
  <si>
    <t>Other PA costs for Establishment of remote counseling points for detainees</t>
  </si>
  <si>
    <t>P11</t>
  </si>
  <si>
    <t>SR</t>
  </si>
  <si>
    <t>207М
128M</t>
  </si>
  <si>
    <t>ділиться на дві</t>
  </si>
  <si>
    <t>21_CRM021</t>
  </si>
  <si>
    <t>8.1.I</t>
  </si>
  <si>
    <t>Furniture for Establishment of remote counseling points for detainees</t>
  </si>
  <si>
    <t>8.1 Furniture</t>
  </si>
  <si>
    <t>строки 129-138 закладки "Assumtion other_AUN" отходит в национальный субгрант совместно с Р24 и Р25 (подробнее - см. ниже п.3)</t>
  </si>
  <si>
    <t>21_CRM022</t>
  </si>
  <si>
    <t>3.1.TA</t>
  </si>
  <si>
    <t>TA for  Establishment of remote counseling points for detainees</t>
  </si>
  <si>
    <t>строки 142 -148  закладки "Assumtion other_AUN" добалтывается в програмный компонент 128М основного гранта ГФ в следующей пропорции в разрезе областей:</t>
  </si>
  <si>
    <t>21_CRM023</t>
  </si>
  <si>
    <t>9.1.E</t>
  </si>
  <si>
    <t>IT for Establishment of remote counseling points for detainees</t>
  </si>
  <si>
    <t>21_CRM031</t>
  </si>
  <si>
    <t>Disposal of medical waste in penitentiary system</t>
  </si>
  <si>
    <t>Health products and waste management systems</t>
  </si>
  <si>
    <t>P24</t>
  </si>
  <si>
    <t>обьедниение с Р25</t>
  </si>
  <si>
    <t>21_CRM032</t>
  </si>
  <si>
    <t>Webinar for penitentiary system staff on the rules of PPE handling and disposal </t>
  </si>
  <si>
    <t>P25</t>
  </si>
  <si>
    <t>Обьедниение с Р24</t>
  </si>
  <si>
    <t>21_CRM038</t>
  </si>
  <si>
    <t>P33</t>
  </si>
  <si>
    <t>Об'єднуємо з напрямом 158 в основній заявці</t>
  </si>
  <si>
    <t>21_CRM039</t>
  </si>
  <si>
    <t>Program management salaries for Establishment of shelters and crisis rooms for key communities affected by violence</t>
  </si>
  <si>
    <t>R13</t>
  </si>
  <si>
    <t>К2022</t>
  </si>
  <si>
    <t>219M
220M
221M</t>
  </si>
  <si>
    <t>21_CRM040</t>
  </si>
  <si>
    <t>Service providers salaries for Establishment of shelters and crisis rooms for key communities affected by violence</t>
  </si>
  <si>
    <t>21_CRM041</t>
  </si>
  <si>
    <t>Office related costs for Establishment of shelters and crisis rooms for key communities affected by violence</t>
  </si>
  <si>
    <t>21_CRM042</t>
  </si>
  <si>
    <t>Food and care packages for Establishment of shelters and crisis rooms for key communities affected by violence</t>
  </si>
  <si>
    <t>21_CRM043</t>
  </si>
  <si>
    <t>12.5.SR/LSC</t>
  </si>
  <si>
    <t>21_CRM044</t>
  </si>
  <si>
    <t xml:space="preserve"> Other Transportation costs for Establishment of shelters and crisis rooms for key communities affected by violence</t>
  </si>
  <si>
    <t>21_CRM045</t>
  </si>
  <si>
    <t>TA for Establishment of shelters and crisis rooms for key communities affected by violence</t>
  </si>
  <si>
    <t>21_CRM046</t>
  </si>
  <si>
    <t>8.2.I</t>
  </si>
  <si>
    <t>Renovation/constructions for Establishment of shelters and crisis rooms for key communities affected by violence</t>
  </si>
  <si>
    <t>8.2 Renovation/constructions</t>
  </si>
  <si>
    <t>21_CRM047</t>
  </si>
  <si>
    <t>Furniture for Establishment of shelters and crisis rooms for key communities affected by violence</t>
  </si>
  <si>
    <t>21_CRM048</t>
  </si>
  <si>
    <t>9.3.E</t>
  </si>
  <si>
    <t>Other non-health equipment for Establishment of shelters and crisis rooms for key communities affected by violence</t>
  </si>
  <si>
    <t>9.3 Other non-health equipment</t>
  </si>
  <si>
    <t>21_CRM049</t>
  </si>
  <si>
    <t>IT for Establishment of shelters and crisis rooms for key communities affected by violence</t>
  </si>
  <si>
    <t>21_CRM050</t>
  </si>
  <si>
    <t>Program management salaries for Paralegal assistance to victims of discrimination, in particular victims of gender-based and domestic violence</t>
  </si>
  <si>
    <t>R21</t>
  </si>
  <si>
    <t>209M
210M
211M</t>
  </si>
  <si>
    <t>а) Paralegal assistance to victims of discrimination, in particular victims of gender-based and domestic violence
б) Розбудова мережі параюристів спільноти секс працівників
в) Розбудова мережі параюристів спільноти чоловіків, які мають секс з чоловіками</t>
  </si>
  <si>
    <t>21_CRM051</t>
  </si>
  <si>
    <t>Service providers salaries for Paralegal assistance to victims of discrimination, in particular victims of gender-based and domestic violence</t>
  </si>
  <si>
    <t>21_CRM052</t>
  </si>
  <si>
    <t>Office related costs for Paralegal assistance to victims of discrimination, in particular victims of gender-based and domestic violence</t>
  </si>
  <si>
    <t>21_CRM053</t>
  </si>
  <si>
    <t>21_CRM054</t>
  </si>
  <si>
    <t>2.1.TRC</t>
  </si>
  <si>
    <t>Training for Paralegal assistance to victims of discrimination, in particular victims of gender-based and domestic violence</t>
  </si>
  <si>
    <t>21_CRM055</t>
  </si>
  <si>
    <t xml:space="preserve"> Transportation costs for Paralegal assistance to victims of discrimination, in particular victims of gender-based and domestic violence</t>
  </si>
  <si>
    <t>21_CRM056</t>
  </si>
  <si>
    <t>TA for Paralegal assistance to victims of discrimination, in particular victims of gender-based and domestic violence</t>
  </si>
  <si>
    <t>21_CRM057</t>
  </si>
  <si>
    <t>2.3.TRC</t>
  </si>
  <si>
    <t>Online trainings on responding to violation of rights due to lockdown restrictions </t>
  </si>
  <si>
    <t>R22</t>
  </si>
  <si>
    <t>220M</t>
  </si>
  <si>
    <t>Додаємо до R13</t>
  </si>
  <si>
    <t>21_CRM058</t>
  </si>
  <si>
    <t>Establishment/strengthening of cooperation of female community activists with crisis centres and shelters </t>
  </si>
  <si>
    <t>R26</t>
  </si>
  <si>
    <t>221M</t>
  </si>
  <si>
    <t>21_CRM059</t>
  </si>
  <si>
    <t>12.4.LSC</t>
  </si>
  <si>
    <t>12.4 Micro-loans and micro-grants</t>
  </si>
  <si>
    <t>Average amount of a micro-loan/grant</t>
  </si>
  <si>
    <t>R43</t>
  </si>
  <si>
    <t>Об'єднуємо з напрямом 154 в основній заявці</t>
  </si>
  <si>
    <t>21_CRM061</t>
  </si>
  <si>
    <t>Program management salaries for Building capacity of the TB community in human rights advocacy </t>
  </si>
  <si>
    <t>R47</t>
  </si>
  <si>
    <t>21_CRM062</t>
  </si>
  <si>
    <t>10.1.C</t>
  </si>
  <si>
    <t>Building capacity of the TB community in human rights advocacy </t>
  </si>
  <si>
    <t>21_CRM063</t>
  </si>
  <si>
    <t>Office related costs for Building capacity of the TB community in human rights advocacy </t>
  </si>
  <si>
    <t>21_CRM064</t>
  </si>
  <si>
    <t>21_CRM065</t>
  </si>
  <si>
    <t>TA Building capacity of the TB community in human rights advocacy </t>
  </si>
  <si>
    <t>21_CRM066</t>
  </si>
  <si>
    <t>R6</t>
  </si>
  <si>
    <t>Пряма</t>
  </si>
  <si>
    <t>Ігнатушина</t>
  </si>
  <si>
    <t>комплементарний напрям основного гранту 148M.Legal support, information, redirection, consultation and representation of key group interests.</t>
  </si>
  <si>
    <t>21_CRM067</t>
  </si>
  <si>
    <t>Program management salaries for Support to women, including those vulnerable to violence or victims of violence</t>
  </si>
  <si>
    <t>R7</t>
  </si>
  <si>
    <t>21_CRM068</t>
  </si>
  <si>
    <t>Office related costs for Support to women, including those vulnerable to violence or victims of violence</t>
  </si>
  <si>
    <t>21_CRM069</t>
  </si>
  <si>
    <t>Food and care packages for Support to women, including those vulnerable to violence or victims of violence</t>
  </si>
  <si>
    <t>21_CRM070</t>
  </si>
  <si>
    <t>21_CRM071</t>
  </si>
  <si>
    <t>21_CRM072</t>
  </si>
  <si>
    <t>Program management salaries for Uninterrupted and safe provision of TB services under quarantine restrictions</t>
  </si>
  <si>
    <t>T10</t>
  </si>
  <si>
    <t>204М</t>
  </si>
  <si>
    <t>21_CRM073</t>
  </si>
  <si>
    <t>Service providers salaries for Uninterrupted and safe provision of TB services under quarantine restrictions</t>
  </si>
  <si>
    <t>21_CRM074</t>
  </si>
  <si>
    <t>Office related costs for Uninterrupted and safe provision of TB services under quarantine restrictions</t>
  </si>
  <si>
    <t>21_CRM075</t>
  </si>
  <si>
    <t>Food and care packages for Uninterrupted and safe provision of TB services under quarantine restrictions</t>
  </si>
  <si>
    <t>21_CRM076</t>
  </si>
  <si>
    <t>21_CRM077</t>
  </si>
  <si>
    <t>Service providers salaries for Scale-up of people-centered contact tracing for TB and COVID-19</t>
  </si>
  <si>
    <t>T4</t>
  </si>
  <si>
    <t>21_CRM078</t>
  </si>
  <si>
    <t>12.3.SR/LSC</t>
  </si>
  <si>
    <t>Incentives to clientsfor Scale-up of people-centered contact tracing for TB and COVID-19</t>
  </si>
  <si>
    <t>21_CRM079</t>
  </si>
  <si>
    <t>Office related costs for Scale-up of people-centered contact tracing for TB and COVID-19</t>
  </si>
  <si>
    <t>21_CRM080</t>
  </si>
  <si>
    <t>21_CRM081</t>
  </si>
  <si>
    <t>Program management salaries for Organization of testing for SARS-Cov-2 infection at the intersection points of the demarcation line in the particular districts of Donetsk and Luhansk regions</t>
  </si>
  <si>
    <t>COVID Diagnostics and testing</t>
  </si>
  <si>
    <t>n/a</t>
  </si>
  <si>
    <t>21_CRM082</t>
  </si>
  <si>
    <t>Service providers salaries for Organization of testing for SARS-Cov-2 infection at the intersection points of the demarcation line in the particular districts of Donetsk and Luhansk regions</t>
  </si>
  <si>
    <t>21_CRM083</t>
  </si>
  <si>
    <t>Office related costs for Organization of testing for SARS-Cov-2 infection at the intersection points of the demarcation line in the particular districts of Donetsk and Luhansk regions</t>
  </si>
  <si>
    <t>21_CRM084</t>
  </si>
  <si>
    <t>Program management salaries for Implementation of socio-psychological support for HIV-positive pregnant women and women in labor</t>
  </si>
  <si>
    <t>21_CRM085</t>
  </si>
  <si>
    <t>Service providers salaries for Implementation of socio-psychological support for HIV-positive pregnant women and women in labor</t>
  </si>
  <si>
    <t>21_CRM086</t>
  </si>
  <si>
    <t>Office related costs for Implementation of socio-psychological support for HIV-positive pregnant women and women in labor</t>
  </si>
  <si>
    <t>21_CRM087</t>
  </si>
  <si>
    <t>Implementation of socio-psychological support for HIV-positive pregnant women and women in labor</t>
  </si>
  <si>
    <t>21_CRM088</t>
  </si>
  <si>
    <t>8.3.SR/I</t>
  </si>
  <si>
    <t>8.3 Infrastructure maintenance and other INF costs</t>
  </si>
  <si>
    <t>21_CRM089</t>
  </si>
  <si>
    <t>IT for Implementation of socio-psychological support for HIV-positive pregnant women and women in labor</t>
  </si>
  <si>
    <t>21_CRM090</t>
  </si>
  <si>
    <t>Program management salaries to Prove social support for women from key groups in difficult circumstances caused by COVID-19</t>
  </si>
  <si>
    <t>H30</t>
  </si>
  <si>
    <t>21_CRM091</t>
  </si>
  <si>
    <t>Office related costs for Providing social support for women from key groups in difficult circumstances caused by COVID-19</t>
  </si>
  <si>
    <t>21_CRM092</t>
  </si>
  <si>
    <t>Providing social support for women from key groups in difficult circumstances caused by COVID-19</t>
  </si>
  <si>
    <t>21_CRM093</t>
  </si>
  <si>
    <t>Service providers salaries for Psychotherapy sessions and webinars on mental health for women living with HIV, women who use drugs, sex workers and transgender women</t>
  </si>
  <si>
    <t>H40</t>
  </si>
  <si>
    <t>21_CRM094</t>
  </si>
  <si>
    <t>Training for Improving mental health of employees and volunteers of MSM/LGBTI organizations</t>
  </si>
  <si>
    <t>H41</t>
  </si>
  <si>
    <t>21_CRM095</t>
  </si>
  <si>
    <t>2.4.TRC</t>
  </si>
  <si>
    <t>Meeting for Improving mental health of employees and volunteers of MSM/LGBTI organizations</t>
  </si>
  <si>
    <t>21_CRM096</t>
  </si>
  <si>
    <t>TA for Improving mental health of employees and volunteers of MSM/LGBTI organizations</t>
  </si>
  <si>
    <t>21_CRM097</t>
  </si>
  <si>
    <t>Program management salaries to Strengthening the capacity of NGOs to develop and integrate services and programmes on prevention of gender-based violence </t>
  </si>
  <si>
    <t>R10</t>
  </si>
  <si>
    <t>208M</t>
  </si>
  <si>
    <t>21_CRM098</t>
  </si>
  <si>
    <t>Office related costs for Strengthening the capacity of NGOs to develop and integrate services and programmes on prevention of gender-based violence </t>
  </si>
  <si>
    <t>21_CRM099</t>
  </si>
  <si>
    <t>Training for Strengthening the capacity of NGOs to develop and integrate services and programmes on prevention of gender-based violence </t>
  </si>
  <si>
    <t>21_CRM100</t>
  </si>
  <si>
    <t>Strengthening the capacity of NGOs to develop and integrate services and programmes on prevention of gender-based violence </t>
  </si>
  <si>
    <t>21_CRM101</t>
  </si>
  <si>
    <t>TA Strengthening the capacity of NGOs to develop and integrate services and programmes on prevention of gender-based violence </t>
  </si>
  <si>
    <t>21_CRM102</t>
  </si>
  <si>
    <t>21_CRM103</t>
  </si>
  <si>
    <t>IT for Strengthening the capacity of NGOs to develop and integrate services and programmes on prevention of gender-based violence </t>
  </si>
  <si>
    <t>21_CRM107</t>
  </si>
  <si>
    <t>R25</t>
  </si>
  <si>
    <t>21_CRM112</t>
  </si>
  <si>
    <t>Program management salaries for  operational research behavioural changes among MSM caused by COVID-19 pandemic and formulating adjustments to best practices in the organization and provision of public health services for MSM in the context of COVID-19</t>
  </si>
  <si>
    <t>21_CRM113</t>
  </si>
  <si>
    <t>Office related costs for Performance of operational research behavioural changes among MSM caused by COVID-19 pandemic and formulating adjustments to best practices in the organization and provision of public health services for MSM in the context of COVID-19</t>
  </si>
  <si>
    <t>21_CRM114</t>
  </si>
  <si>
    <t>Training Performance of operational research behavioural changes among MSM caused by COVID-19 pandemic and formulating adjustments to best practices in the organization and provision of public health services for MSM in the context of COVID-19</t>
  </si>
  <si>
    <t>21_CRM115</t>
  </si>
  <si>
    <t>Meeting: Performance of operational research behavioural changes among MSM caused by COVID-19 pandemic and formulating adjustments to best practices in the organization and provision of public health services for MSM in the context of COVID-19</t>
  </si>
  <si>
    <t>21_CRM116</t>
  </si>
  <si>
    <t>TA Performance of operational research behavioural changes among MSM caused by COVID-19 pandemic and formulating adjustments to best practices in the organization and provision of public health services for MSM in the context of COVID-19</t>
  </si>
  <si>
    <t>21_CRM120</t>
  </si>
  <si>
    <t>Training for MSM/LGBTI volunteers on COVID-19 </t>
  </si>
  <si>
    <t>COVID-19 CSS: Social mobilization</t>
  </si>
  <si>
    <t>R50</t>
  </si>
  <si>
    <t>Додаємо до H41</t>
  </si>
  <si>
    <t>21_CRM122</t>
  </si>
  <si>
    <t xml:space="preserve"> Program management salaries for Support of a national community-based hotline for sex workers
 Online counselling of sex workers who have been victims of violence</t>
  </si>
  <si>
    <t>R9</t>
  </si>
  <si>
    <t>21_CRM123</t>
  </si>
  <si>
    <t xml:space="preserve"> Support of a national community-based hotline for sex workers
Service providers salaries for Online counselling of sex workers who have been victims of violence</t>
  </si>
  <si>
    <t>21_CRM124</t>
  </si>
  <si>
    <t>Office related costs for Support of a national community-based hotline for sex workers
 Online counselling of sex workers who have been victims of violence</t>
  </si>
  <si>
    <t>21_CRM125</t>
  </si>
  <si>
    <t>Other PA costs for  Support of a national community-based hotline for sex workers
 Online counselling of sex workers who have been victims of violence</t>
  </si>
  <si>
    <t>21_CRM126</t>
  </si>
  <si>
    <t>TA  Support of a national community-based hotline for sex workers
Online counselling of sex workers who have been victims of violence</t>
  </si>
  <si>
    <t>Напрям</t>
  </si>
  <si>
    <t>Бюджетний код</t>
  </si>
  <si>
    <t>Номер активності</t>
  </si>
  <si>
    <t>Складові</t>
  </si>
  <si>
    <t>Вартість за одиницю, грн</t>
  </si>
  <si>
    <t>Тривалість</t>
  </si>
  <si>
    <t xml:space="preserve">Кількість </t>
  </si>
  <si>
    <t>Загальна вартість, грн</t>
  </si>
  <si>
    <t>Загальна вартість, $</t>
  </si>
  <si>
    <t xml:space="preserve">Оплата соціальному працівнику </t>
  </si>
  <si>
    <t>клієнт</t>
  </si>
  <si>
    <t>Доставка Новою поштою або Укрпоштою (70% від загального охоплення)</t>
  </si>
  <si>
    <t>Доставка особисто соцпрацівником автомобілем або маршруткою (30% від охоплення)</t>
  </si>
  <si>
    <t>Консультація лікаря (для 20%)</t>
  </si>
  <si>
    <t>виїзд</t>
  </si>
  <si>
    <t>Консультація соцпрацівника</t>
  </si>
  <si>
    <t>Покриття транспортних витрат</t>
  </si>
  <si>
    <t>To be clarified</t>
  </si>
  <si>
    <t>Reduced to UAH 2413</t>
  </si>
  <si>
    <t xml:space="preserve">Вакутайнер для СД4 </t>
  </si>
  <si>
    <t>тут тільки товари і вони наявні в HP</t>
  </si>
  <si>
    <t>Вакутайнер для  ВН</t>
  </si>
  <si>
    <t>Тест на КОВІД</t>
  </si>
  <si>
    <t>5.4 Rapid diagnostic tests</t>
  </si>
  <si>
    <t xml:space="preserve">Забор крові на СД4 та\або ВН та\або ІФА на КОВІД (оплата медсестрі)  </t>
  </si>
  <si>
    <t>тут не товари, а послуги медсестер, тому змінено категорію на 1.2.</t>
  </si>
  <si>
    <t>Мотиваційний набір</t>
  </si>
  <si>
    <t>reduced to 244UAH</t>
  </si>
  <si>
    <t>before revision, previous</t>
  </si>
  <si>
    <t>Покриття транспортних видатків</t>
  </si>
  <si>
    <t>Консультація лікаря</t>
  </si>
  <si>
    <t>консультація лікаря - 16,64 забір біоматеріалу (оплата медсестрі) - 6,27 консультація соцпрацівника - 3,13 покриття транспортних витрат на виїзд МДК - 97,91 в рамках інтервенції заплановано закупівлю для 1 виїзду: контейнери для мокроти - 10шт*0,16$=1,6$ тест на COVID - 5шт*5,29$=26,43</t>
  </si>
  <si>
    <t>Покриття транспортних витрат на виїзд МДК</t>
  </si>
  <si>
    <t xml:space="preserve">Вакутайнер для мокротиння </t>
  </si>
  <si>
    <t xml:space="preserve">Забор біоматеріалу (оплата медсестрі)  </t>
  </si>
  <si>
    <t xml:space="preserve"> Cost, UAH</t>
  </si>
  <si>
    <t xml:space="preserve"> Cost, USD</t>
  </si>
  <si>
    <t>n</t>
  </si>
  <si>
    <t>Y1, UAH</t>
  </si>
  <si>
    <t>Y2, UAH</t>
  </si>
  <si>
    <t>Y3, UAH</t>
  </si>
  <si>
    <t>Y1, USD</t>
  </si>
  <si>
    <t>Y2, USD</t>
  </si>
  <si>
    <t>Y3, USD</t>
  </si>
  <si>
    <t>Total, USD</t>
  </si>
  <si>
    <t># for DB (by CC)</t>
  </si>
  <si>
    <t>Payment currency</t>
  </si>
  <si>
    <t>сертифікат для отримання гігієнічних товарів</t>
  </si>
  <si>
    <t xml:space="preserve">Координаторка навчання: 200$ x 9 кварталів = 1800$, </t>
  </si>
  <si>
    <t>person / qurter</t>
  </si>
  <si>
    <t xml:space="preserve">Спікерка: 150$ x 9 кварталів = 1350$. </t>
  </si>
  <si>
    <t>Психотерапевтка: 2700 сесій х 30$ = 81000$</t>
  </si>
  <si>
    <t>Проведення 3-х фокус-груп (по 10 учасників): оплата роботи фасилітатора (підготовка опитувальника ФГ, проведення ФГ, аналіз та звіт по ФГ) - всього $377,16; винагорода учасникам ФГ - 30х7$ = 210$; Всього на ФГ – 587,16$</t>
  </si>
  <si>
    <t xml:space="preserve">Оплата послуг з підготовки ґайду по профілактиці професійного вигорання </t>
  </si>
  <si>
    <t>person / day</t>
  </si>
  <si>
    <t xml:space="preserve">макетування  доробку у PDF-форматі </t>
  </si>
  <si>
    <t xml:space="preserve">3-денний тренінг з профілактики емоційного вигорання в умовах COVID-19 </t>
  </si>
  <si>
    <t xml:space="preserve">Індивідуальна супервізія з експертом по профілактиці емоційного вигорання для учасників тренінгу – по 2 консультації для 15 учасників на рік – 30 консультацій х 23,58$ (тривалість півтори години) </t>
  </si>
  <si>
    <t>Проведення воркшопу щодо набуття навичок самодіагностики професійного емоційного вигорання та первинної самодопомоги (оплата послуг фасілітатора</t>
  </si>
  <si>
    <t>Set up webinar</t>
  </si>
  <si>
    <t>service</t>
  </si>
  <si>
    <t>Development of guide</t>
  </si>
  <si>
    <t>Training (3-day event, 15 participants, 2 trainers, 1 employee)</t>
  </si>
  <si>
    <t>Online workshop</t>
  </si>
  <si>
    <t>Вартість юніткосту, грн</t>
  </si>
  <si>
    <t>Вартість юніткосту, $</t>
  </si>
  <si>
    <t>Оплата  вартості обстеження на маркери  опортуністичних інфекцій( Ig M,  Ig G, ПЦР)</t>
  </si>
  <si>
    <t>година</t>
  </si>
  <si>
    <t>Оплата  вартості обстеження на МТР/КТ</t>
  </si>
  <si>
    <t>Покриття витрат на персонал проекту</t>
  </si>
  <si>
    <t>Покриття адміністративних витрат</t>
  </si>
  <si>
    <t>Оплата  вартості обстеження на CD 4</t>
  </si>
  <si>
    <t>Розробка та пілотування інноваційних механізмів дистанційного консультування в установах КВС для підготовки до звільнення - облаштування кімнат  дистанційного консультування у соціально-виховній службі</t>
  </si>
  <si>
    <t>Sum, USD</t>
  </si>
  <si>
    <t>Laptop</t>
  </si>
  <si>
    <t>Projector</t>
  </si>
  <si>
    <t>Projector screen</t>
  </si>
  <si>
    <t>для демонстрації начвально-інформаційно матеріалів для ув'язнених</t>
  </si>
  <si>
    <t>Webcamera</t>
  </si>
  <si>
    <t>Furniture ((table 4000 UAH, chair 1890 UAH, chairs for visitors 3 pieces for 870 UAH)</t>
  </si>
  <si>
    <t>WI-FI router</t>
  </si>
  <si>
    <t>Internet access</t>
  </si>
  <si>
    <t>Послуги з утилізації</t>
  </si>
  <si>
    <t>Курс 25,5</t>
  </si>
  <si>
    <t>Комплект меблів (стіл 2500 грн, стілець 1890 грн., стільці для відвідувачів 3 шт. по 870 грн)</t>
  </si>
  <si>
    <t>Компьютер(моноблок)</t>
  </si>
  <si>
    <t xml:space="preserve">Прокладка мереж Інтернет </t>
  </si>
  <si>
    <t>Оплата Інтернет</t>
  </si>
  <si>
    <t>установа\місяць</t>
  </si>
  <si>
    <t>Trainings  conduction</t>
  </si>
  <si>
    <t>Trainings  conduction (on line, trainer fee)</t>
  </si>
  <si>
    <t>Mentoring vists</t>
  </si>
  <si>
    <t>Консультантські винагороди (гонорари регіональним представницям, менторинг та технічна підтримка експертами</t>
  </si>
  <si>
    <t>1.Створення шелтерів та кризових кімнат для представників ключових спільнот які постраждали від гендерно-зумовленого насильства
 2. Забезпечення діяльності шелтеру для ЧСЧ в місті Київ з наданням психологічної допомоги, юридичної допомоги та допомоги в ресоціалізації.
 3. Екстрена кризова підтримка представників ключових спільнот, які постраждали від насильства
 4. Бюджетна адвокація для забезпечення стійкості функціонування шелтерів та послуг для представників ключових спільнот які постраждали від гендерно-зумовленого насильства.</t>
  </si>
  <si>
    <t xml:space="preserve">  Оренда</t>
  </si>
  <si>
    <t xml:space="preserve">  Послуги соціального працівника</t>
  </si>
  <si>
    <t xml:space="preserve">  Психологічні послуги</t>
  </si>
  <si>
    <t xml:space="preserve">  Продуктові набори</t>
  </si>
  <si>
    <t>Assumption was redesigned to UAH 244 per food package</t>
  </si>
  <si>
    <t xml:space="preserve">  Юридичні послуги</t>
  </si>
  <si>
    <t xml:space="preserve">  Послуги охорони</t>
  </si>
  <si>
    <t>Харчові набори</t>
  </si>
  <si>
    <t>Забезпечення роботи кризової кімнати</t>
  </si>
  <si>
    <t xml:space="preserve"> Транспортні витрати</t>
  </si>
  <si>
    <t xml:space="preserve"> Харчування</t>
  </si>
  <si>
    <t xml:space="preserve"> Соціальний працівник</t>
  </si>
  <si>
    <t xml:space="preserve"> Психолог</t>
  </si>
  <si>
    <t xml:space="preserve"> Адміністратори шелтерів</t>
  </si>
  <si>
    <t xml:space="preserve"> Координатор проекту</t>
  </si>
  <si>
    <t>Assumptions is redesigned</t>
  </si>
  <si>
    <t>12.5 Sub-grants - Other costs related to living support to client/target population</t>
  </si>
  <si>
    <t>Shelters rennovation</t>
  </si>
  <si>
    <t>200 m2</t>
  </si>
  <si>
    <t>Од. виміру</t>
  </si>
  <si>
    <t>Вартість, грн</t>
  </si>
  <si>
    <t>Кількість</t>
  </si>
  <si>
    <t>Сума, грн</t>
  </si>
  <si>
    <t>Сума, USD</t>
  </si>
  <si>
    <t>Ремонт приміщення (розрахунок 300$ м2 - 200$ - вартість матеріалів; 100$ - вартість послуг з ремонту)</t>
  </si>
  <si>
    <t>м2</t>
  </si>
  <si>
    <t>Місце для сну:</t>
  </si>
  <si>
    <t>ліжко односпальне</t>
  </si>
  <si>
    <t>шт.</t>
  </si>
  <si>
    <t>окрема шафа/місце в шафі</t>
  </si>
  <si>
    <t>тумба індивідуальна приліжкова</t>
  </si>
  <si>
    <t>індивідуальна поличка над ліжком</t>
  </si>
  <si>
    <t>один комод</t>
  </si>
  <si>
    <t>один письмовий стіл</t>
  </si>
  <si>
    <t>стільці за кількістю клієнтів</t>
  </si>
  <si>
    <t>Кухня:</t>
  </si>
  <si>
    <t>кухонна стінка з мийкою для посуду</t>
  </si>
  <si>
    <t xml:space="preserve"> кухонні меблі</t>
  </si>
  <si>
    <t xml:space="preserve"> столи для споживання їжі</t>
  </si>
  <si>
    <t xml:space="preserve"> стільці</t>
  </si>
  <si>
    <t xml:space="preserve"> електрична/газова плита</t>
  </si>
  <si>
    <t xml:space="preserve"> витяжка</t>
  </si>
  <si>
    <t xml:space="preserve"> холодильник</t>
  </si>
  <si>
    <t xml:space="preserve"> бойлер</t>
  </si>
  <si>
    <t xml:space="preserve"> чайник/електрочайник</t>
  </si>
  <si>
    <t xml:space="preserve"> мікрохвильова піч</t>
  </si>
  <si>
    <t xml:space="preserve"> набір каструль (1л, 2л, 3л, 5л), сковорода (не менше 2-х шт.)</t>
  </si>
  <si>
    <t>наб.</t>
  </si>
  <si>
    <t xml:space="preserve"> кухонне обладнання</t>
  </si>
  <si>
    <t>Ванна кімната:</t>
  </si>
  <si>
    <t>обладнаний душ</t>
  </si>
  <si>
    <t>унітаз</t>
  </si>
  <si>
    <t xml:space="preserve"> рукомийник</t>
  </si>
  <si>
    <t xml:space="preserve"> пральна машина</t>
  </si>
  <si>
    <t>Додатково</t>
  </si>
  <si>
    <t xml:space="preserve"> праска (не менше 2-х шт.)</t>
  </si>
  <si>
    <t xml:space="preserve"> дошка для прасування</t>
  </si>
  <si>
    <t xml:space="preserve"> фен для волосся</t>
  </si>
  <si>
    <t xml:space="preserve"> обігрівач (не менше 2 шт.)</t>
  </si>
  <si>
    <t xml:space="preserve"> пилосос</t>
  </si>
  <si>
    <t xml:space="preserve"> обладнання для кварцування</t>
  </si>
  <si>
    <t xml:space="preserve"> пароочисник</t>
  </si>
  <si>
    <t xml:space="preserve"> телевізор (у кімнаті загального користування)</t>
  </si>
  <si>
    <t xml:space="preserve"> комп’ютер/ноутбук/планшет для цільового використання клієнтами (наприклад, пошук роботи)</t>
  </si>
  <si>
    <t xml:space="preserve"> дзеркала </t>
  </si>
  <si>
    <t xml:space="preserve"> обладнане місце для сушіння речей</t>
  </si>
  <si>
    <t xml:space="preserve"> інформаційні дошки або стенди з корисною інформацією</t>
  </si>
  <si>
    <t xml:space="preserve"> засоби забезпечення інтернету</t>
  </si>
  <si>
    <t xml:space="preserve"> телефон, яким можуть користуватися клієнти</t>
  </si>
  <si>
    <t xml:space="preserve"> обладнане місце (шафа) для зберігання запасної білизни</t>
  </si>
  <si>
    <t xml:space="preserve"> обладнане місце для зберігання продуктів (шафа)</t>
  </si>
  <si>
    <t xml:space="preserve"> механічні засоби для захисту вікон зсередини (жалюзі)</t>
  </si>
  <si>
    <t xml:space="preserve"> аптечка першої медичної допомоги</t>
  </si>
  <si>
    <t>Загальна кімната:</t>
  </si>
  <si>
    <t>диван чи м’який куточок</t>
  </si>
  <si>
    <t xml:space="preserve"> телевізор з можливістю демонструвати презентації</t>
  </si>
  <si>
    <t xml:space="preserve"> шафа для книг і/або інформаційних матеріалів</t>
  </si>
  <si>
    <t xml:space="preserve"> екран, фліпчарт</t>
  </si>
  <si>
    <t xml:space="preserve"> стіл</t>
  </si>
  <si>
    <t xml:space="preserve"> ігрове місце для дітей, обладнане необхідним приладдям</t>
  </si>
  <si>
    <t xml:space="preserve"> обладнане місце для навчання дітей шкільного віку</t>
  </si>
  <si>
    <t>Індивідуальне облаштування</t>
  </si>
  <si>
    <t>матрац;</t>
  </si>
  <si>
    <t xml:space="preserve"> подушка;</t>
  </si>
  <si>
    <t xml:space="preserve"> ковдра літня, ковдра зимова;</t>
  </si>
  <si>
    <t xml:space="preserve"> покривало для ліжка;</t>
  </si>
  <si>
    <t xml:space="preserve"> 2 комплекти постільної білизни;</t>
  </si>
  <si>
    <t xml:space="preserve"> 2 комплекти рушників;</t>
  </si>
  <si>
    <t xml:space="preserve"> санітарно-гігієнічні засоби (мило, шампунь, туалетний</t>
  </si>
  <si>
    <t>папір);</t>
  </si>
  <si>
    <t xml:space="preserve"> засоби особистої гігієни для жінок.</t>
  </si>
  <si>
    <t>Обладнання робочих місць працівників:</t>
  </si>
  <si>
    <t xml:space="preserve"> робочі столи</t>
  </si>
  <si>
    <t xml:space="preserve"> шафа для зберігання документів</t>
  </si>
  <si>
    <t xml:space="preserve"> диван</t>
  </si>
  <si>
    <t xml:space="preserve"> металевий сейф</t>
  </si>
  <si>
    <t xml:space="preserve"> службовий телефон</t>
  </si>
  <si>
    <t xml:space="preserve"> багатофункціональний пристрій для друку, копіювання</t>
  </si>
  <si>
    <t>комп’ютери/ноутбуки</t>
  </si>
  <si>
    <t xml:space="preserve"> проектор</t>
  </si>
  <si>
    <t>Обладнання кабінету психолога:</t>
  </si>
  <si>
    <t xml:space="preserve"> робочий стіл</t>
  </si>
  <si>
    <t xml:space="preserve"> шафа для документів, посібників, методичних матеріалів</t>
  </si>
  <si>
    <t xml:space="preserve"> диван або два крісла</t>
  </si>
  <si>
    <t xml:space="preserve"> металевий сейф для документів</t>
  </si>
  <si>
    <t>комп’ютер/ноутбук</t>
  </si>
  <si>
    <t xml:space="preserve"> журнальний столик</t>
  </si>
  <si>
    <t>100 m2</t>
  </si>
  <si>
    <t xml:space="preserve"> кухонні меблі (шафи й полички для зберігання посуду)</t>
  </si>
  <si>
    <t xml:space="preserve"> набір каструль (1л, 2л, 3л, 5л), сковорода (не менше 2-х шт.);</t>
  </si>
  <si>
    <t xml:space="preserve"> комп’ютер/ноутбук/планшет для цільового використання</t>
  </si>
  <si>
    <t xml:space="preserve"> дзеркала</t>
  </si>
  <si>
    <t>матрац</t>
  </si>
  <si>
    <t xml:space="preserve"> подушка</t>
  </si>
  <si>
    <t xml:space="preserve"> ковдра літня, ковдра зимова</t>
  </si>
  <si>
    <t xml:space="preserve"> покривало для ліжка</t>
  </si>
  <si>
    <t xml:space="preserve"> 2 комплекти постільної білизни</t>
  </si>
  <si>
    <t xml:space="preserve"> 2 комплекти рушників</t>
  </si>
  <si>
    <t xml:space="preserve"> санітарно-гігієнічні засоби (мило, шампунь, туалетний папір)</t>
  </si>
  <si>
    <t xml:space="preserve"> засоби особистої гігієни для жінок</t>
  </si>
  <si>
    <t xml:space="preserve"> проектор.</t>
  </si>
  <si>
    <t xml:space="preserve"> багатофункціональний пристрій для друку, копіювання,</t>
  </si>
  <si>
    <t>50 m2</t>
  </si>
  <si>
    <t>1.Проведення інформаційних занятть для представників правоохоронних органів для зниження рівня стигми та дискримінації щодо секс-працівників.
 2. Транспортні послуги для супроводу постраждалих від насильства секс-працівників для отримання правової допомоги під час карантину
 3. Допомога у відновленні втрачених документів.</t>
  </si>
  <si>
    <t>120 інформаційних занять в рік*476$ (у 23 р. переформ на гуманітарну допомогу секс-працівникам, допомога прописана у 211М)</t>
  </si>
  <si>
    <t>заняття</t>
  </si>
  <si>
    <t xml:space="preserve"> транспортування для отримання правової допомоги 100 секс працівників*15$</t>
  </si>
  <si>
    <t>транспортні витрати</t>
  </si>
  <si>
    <t xml:space="preserve"> фінансова допомога для відновлення втрачених документів (паспорт) для 300 секс-працівників*19$</t>
  </si>
  <si>
    <t>допомога</t>
  </si>
  <si>
    <t>параюристи</t>
  </si>
  <si>
    <t>2 тренінга для параюристів (25 осіб)- 11900$*2=238000</t>
  </si>
  <si>
    <t xml:space="preserve"> 2 тренінга для параюристів "рівний-рівному" (25 осіб)- 11900$*2=238000</t>
  </si>
  <si>
    <t xml:space="preserve"> оплата параюристам 50 осіб*400$*12місяців=240 000</t>
  </si>
  <si>
    <t>209М</t>
  </si>
  <si>
    <t xml:space="preserve">консультації психолога (індивідуальні), 640 консультацій </t>
  </si>
  <si>
    <t>134995 грн</t>
  </si>
  <si>
    <t>чсч</t>
  </si>
  <si>
    <t>Інформаційна кампанія</t>
  </si>
  <si>
    <t>Тренінги</t>
  </si>
  <si>
    <t>секс-працівники</t>
  </si>
  <si>
    <t>Параюристи секс-спільноти</t>
  </si>
  <si>
    <t>211М</t>
  </si>
  <si>
    <t>Продукти харчування, засоби гігієни, одяг, ковдри, товари медичного призначення для секс-працівників та їх дітей</t>
  </si>
  <si>
    <t>1 390 500 грн</t>
  </si>
  <si>
    <t>Conducting trainings on responding to violation of rights due to lockdown restrictions of access to appropriate treatment, refusal to provide social and other services provided by state and municipal authorities and institutions for lawyers, paralegals and community representatives.</t>
  </si>
  <si>
    <t>Онлайн навчання для 15 осіб,  3 дні.  Два тренери.</t>
  </si>
  <si>
    <t>training</t>
  </si>
  <si>
    <t>Підтримка організацій, неформальних об'єднань, консорціумів, Хабів, комьюніті організацій, ресурсних центрів, які створені або керуються спільнотою ЛВН під час КОВІД19.</t>
  </si>
  <si>
    <t>Зменшення бар'єрів у доступі до лікування ВГС, покращення якості надання послуг з лікування і діагностики ВГС</t>
  </si>
  <si>
    <t>Тренінги для представників спільноти 9 тренінгів для 180 осіб</t>
  </si>
  <si>
    <t>захід</t>
  </si>
  <si>
    <t>Друк рекламної продукціїї</t>
  </si>
  <si>
    <t>публікація</t>
  </si>
  <si>
    <t>Веденя реєстру порушень</t>
  </si>
  <si>
    <t>день</t>
  </si>
  <si>
    <t>Організація роботи параюристів:</t>
  </si>
  <si>
    <t xml:space="preserve"> • Навчання тренерів</t>
  </si>
  <si>
    <t xml:space="preserve"> • Підготовка навчального матеріалу</t>
  </si>
  <si>
    <t xml:space="preserve"> • Відбір учасників (24 зі 180) серед представників спільноти / навчання</t>
  </si>
  <si>
    <t xml:space="preserve"> • Адвокаційна робота щодо доступу/охоплення до ключової групи</t>
  </si>
  <si>
    <t xml:space="preserve"> • Забезпечення технічної підтримки/супровід клієнтів у період на 2 роки</t>
  </si>
  <si>
    <t>Проведення 48 тренінгів для адвокатів центрів правової допомоги – (1 дводенний тренінг-$1000).</t>
  </si>
  <si>
    <t>Оренда складу для гуманітарної допомоги (додати додатково з загальної економії)</t>
  </si>
  <si>
    <t>місяць</t>
  </si>
  <si>
    <t>Продукти харчування для ЗОЗ та пацієнтів (додати додатково)</t>
  </si>
  <si>
    <t>заклад</t>
  </si>
  <si>
    <t>Гігієнічні товари для ЗОЗ та пацієнтів (додати додатково)</t>
  </si>
  <si>
    <t>Заклад</t>
  </si>
  <si>
    <t>Пауербанки, ліхтарі, каністри інше немедичне обладнання для ЗОЗ (додати додатково)</t>
  </si>
  <si>
    <r>
      <rPr>
        <sz val="10"/>
        <color rgb="FFFF0000"/>
        <rFont val="Arial"/>
        <family val="2"/>
        <charset val="204"/>
      </rPr>
      <t>Програмний персонал (координатор, консультанти з залучення та реалізації гуманітарної допомоги)</t>
    </r>
    <r>
      <rPr>
        <b/>
        <sz val="10"/>
        <color theme="1"/>
        <rFont val="Arial"/>
        <family val="2"/>
        <charset val="204"/>
      </rPr>
      <t xml:space="preserve"> </t>
    </r>
    <r>
      <rPr>
        <sz val="10"/>
        <color rgb="FFFF0000"/>
        <rFont val="Arial"/>
        <family val="2"/>
        <charset val="204"/>
      </rPr>
      <t>додати додатково</t>
    </r>
  </si>
  <si>
    <t>Координаторка навчання (ГН): 200$ x 10 кварталів = 2000$, Спікерка: 150$ x 10 кварталів = 1500$</t>
  </si>
  <si>
    <t>Координаторка нармяму: 500$ x 30 місяців = 15000$, Супровід жінок (консультантка): 150 жінок х 80$ = 12000$</t>
  </si>
  <si>
    <t>набір</t>
  </si>
  <si>
    <t xml:space="preserve"> Технічне оснащення безпечних просторів (техніка, меблі, інтернет послуги, програмне забезпечення), оренда, послуги психотерапевток та фасилітаторок: 10 регіонів х 3000$ = 30000$</t>
  </si>
  <si>
    <t>реновація</t>
  </si>
  <si>
    <t xml:space="preserve"> Координаторка навчання (СРЗ): 200$ x 10 кварталів = 2000$, Спікерка: 150$ x 10 кварталів = 1500$</t>
  </si>
  <si>
    <t xml:space="preserve"> Комунікаційна менеджерка: 400$ x 30 місяців = 12000$</t>
  </si>
  <si>
    <t>Консультант телефонної гарячої лінії - 2 консультанта*12 місяців;</t>
  </si>
  <si>
    <t>person/month</t>
  </si>
  <si>
    <t xml:space="preserve"> Консультант з надання онлайн консультацій - 1 консультант</t>
  </si>
  <si>
    <t>Консультації психолога на гарячій ліній - 1 консультант</t>
  </si>
  <si>
    <t>Дизайн, розробка та підтримка онлайн інструменту для консультування</t>
  </si>
  <si>
    <t xml:space="preserve">Оплата телефонії </t>
  </si>
  <si>
    <t>Оплата хостингу веб-сторінки</t>
  </si>
  <si>
    <t>Усунення барьєрів пов язаних з КОВІД для належного та ефективного впровадження інтервенції по роботі з контактними особами для підвищення рівня виявлення та\або хіміопрофілактики ТБ</t>
  </si>
  <si>
    <t>Bonus to social workers for every TB contact who received completed diagnostic procedure</t>
  </si>
  <si>
    <t>client</t>
  </si>
  <si>
    <t>Bonus for TB contacts motivation to receive сompleted diagnostic procedure.</t>
  </si>
  <si>
    <t xml:space="preserve">Transportation costs, reimbursement of clients' trips to health care institutions (costs reimbursement, bus ticket purchase, etc.) </t>
  </si>
  <si>
    <t>In the approved budget transportation cost to clients is UAH 60.</t>
  </si>
  <si>
    <t>Program Personnel</t>
  </si>
  <si>
    <t>Оренда</t>
  </si>
  <si>
    <t>26 000</t>
  </si>
  <si>
    <t>312 000</t>
  </si>
  <si>
    <t>12 221</t>
  </si>
  <si>
    <t>Послуги соціального працівника</t>
  </si>
  <si>
    <t>12 800</t>
  </si>
  <si>
    <t>153 600</t>
  </si>
  <si>
    <t>6 016</t>
  </si>
  <si>
    <t>Психологічні послуги</t>
  </si>
  <si>
    <t>Продуктові набори</t>
  </si>
  <si>
    <t>85 400</t>
  </si>
  <si>
    <t>3 345</t>
  </si>
  <si>
    <t>Юридичні послуги</t>
  </si>
  <si>
    <t>Послуги охорони</t>
  </si>
  <si>
    <t>1 094</t>
  </si>
  <si>
    <t>13 133</t>
  </si>
  <si>
    <t>Establishment/strengthening of cooperation of female community activists with crisis centres and shelters</t>
  </si>
  <si>
    <t>13 890</t>
  </si>
  <si>
    <t>166 676</t>
  </si>
  <si>
    <t>6 529</t>
  </si>
  <si>
    <t>165 241</t>
  </si>
  <si>
    <t>6 472</t>
  </si>
  <si>
    <t>247 861</t>
  </si>
  <si>
    <t>9 709</t>
  </si>
  <si>
    <t>80 905</t>
  </si>
  <si>
    <t>80 905,24</t>
  </si>
  <si>
    <t>Забезпечення діяльності шелтеру для ЧСЧ в місті Київ з наданням психологічної допомоги, юридичної допомоги та допомоги в ресоціалізації під час пандемії COVID-19.</t>
  </si>
  <si>
    <t>Оренда - 714,29$ * 12 міс = 8571,43$;</t>
  </si>
  <si>
    <t>18 236</t>
  </si>
  <si>
    <t>218 830</t>
  </si>
  <si>
    <t>8 571</t>
  </si>
  <si>
    <t>Послуги соціального працівника - 464,29$*12 міс = 5571,43$;</t>
  </si>
  <si>
    <t>11 853</t>
  </si>
  <si>
    <t>142 240</t>
  </si>
  <si>
    <t>5 571</t>
  </si>
  <si>
    <t>Психологічні послуги - 428,57$* 12 міс = 5142,86$;</t>
  </si>
  <si>
    <t>10 941</t>
  </si>
  <si>
    <t>131 297</t>
  </si>
  <si>
    <t>5 143</t>
  </si>
  <si>
    <t>Продуктові набори - 178,57$* 12 міс = 2142,86$;</t>
  </si>
  <si>
    <t>4 559</t>
  </si>
  <si>
    <t>54 707</t>
  </si>
  <si>
    <t>2 143</t>
  </si>
  <si>
    <t>Юридичні послуги - 321,43$ * 12 міс = 3857,14$;</t>
  </si>
  <si>
    <t>8 206</t>
  </si>
  <si>
    <t>98 473</t>
  </si>
  <si>
    <t>3 857</t>
  </si>
  <si>
    <t>Послуги охорони - 42,86$ * 12 міс = 514,29$.</t>
  </si>
  <si>
    <t>13 131</t>
  </si>
  <si>
    <t>Online trainings on responding to violation of rights due to lockdown restrictions</t>
  </si>
  <si>
    <t>128 391</t>
  </si>
  <si>
    <t>5 029</t>
  </si>
  <si>
    <t>78 707</t>
  </si>
  <si>
    <t>3 083</t>
  </si>
  <si>
    <t>118 060</t>
  </si>
  <si>
    <t>4 624</t>
  </si>
  <si>
    <t>38 536</t>
  </si>
  <si>
    <t>Сумма по полю Y1 Total Cash Outflow</t>
  </si>
  <si>
    <t>ER</t>
  </si>
  <si>
    <t>USD Y1</t>
  </si>
  <si>
    <t>UAH Y1</t>
  </si>
  <si>
    <t>USD Y2</t>
  </si>
  <si>
    <t>UAH Y2</t>
  </si>
  <si>
    <t>USD Y3</t>
  </si>
  <si>
    <t>"Patient's School" for temporarily NON-CONTROLLED territories of Donetsk and Lugansk regions.</t>
  </si>
  <si>
    <t>mistake in DB in detailed calc</t>
  </si>
  <si>
    <t>Comprehensive support of HIV positive pregnant women, women among risk groups and children born by HIV positive mothersin the temporarily out-of-control areas of Donetsk and Luhansk regions</t>
  </si>
  <si>
    <t>Comprehensive support of PLHIV in order to form a commitment to ART in the Autonomous Republic of Crimea</t>
  </si>
  <si>
    <t>Counseling and support for HIV testing in penitentiary facilities in temporarily NON-CONTROLLED territories of Donetsk and Luhansk regions</t>
  </si>
  <si>
    <t xml:space="preserve">Creating the necessary conditions to ensure the sustainability of tuberculosis services within the transition to national funding at national level
</t>
  </si>
  <si>
    <t>Development of adherence to antiretroviral treatment and psychosocial support for HIV-positive prisoners (NON-CONTROLLED TERRITORY)</t>
  </si>
  <si>
    <t>Early detection of pulmonary and/or extrapulmonary tuberculosis (TB) among severey ill PLHIV adults, including the penitentiary population, and children in non-PEPFAR regions  via LF-LAM testing  (PLHIV)</t>
  </si>
  <si>
    <t>mistake in Y1 in DB budget under 2.5</t>
  </si>
  <si>
    <t>Index testing for HIV in the UNCONTROLLED territories of Donetsk and Luhansk regions</t>
  </si>
  <si>
    <t>Medical and social support for HIV + children and children affected by the HIV / AIDS epidemic in temporarily UNCONTROLLED territories of Donetsk and Luhansk regions.</t>
  </si>
  <si>
    <t>Parliamentary expert platform “Fight for Health”</t>
  </si>
  <si>
    <t>Providing of non-medical care services to HIV-positive people living at the temporarily uncontrolled territories of Donetsk and Luhansk regions of Ukraine.</t>
  </si>
  <si>
    <t>Advocacy for increased access to HCV diagnosis and treatment among PWID at the regional level</t>
  </si>
  <si>
    <t>Charitable Organization "All-Ukrainian Network of People Living with HIV/AIDS"</t>
  </si>
  <si>
    <t>Moved to SR</t>
  </si>
  <si>
    <t>Combined in one line in DB, moved to SR</t>
  </si>
  <si>
    <t>TB</t>
  </si>
  <si>
    <t>Prison TB</t>
  </si>
  <si>
    <t>Non-services</t>
  </si>
  <si>
    <t>Hep</t>
  </si>
  <si>
    <t>Prison HIV</t>
  </si>
  <si>
    <t>HIV</t>
  </si>
  <si>
    <t>Розрахунок потреби у медико-психосоціальному супроводі пацієнті вз туберкульозом на 2023 рік</t>
  </si>
  <si>
    <t>Чутливий туберкульоз</t>
  </si>
  <si>
    <t>Мультирезистентний туберкульоз</t>
  </si>
  <si>
    <t>ОР (2018-2020рр.)</t>
  </si>
  <si>
    <t>Кількість пацієнтів у 2021</t>
  </si>
  <si>
    <t>Потреба у супроводі (50% від загальної кількості)</t>
  </si>
  <si>
    <t>Квота ОР</t>
  </si>
  <si>
    <t xml:space="preserve">Різниця між потребою у супроводі та квотою ОР </t>
  </si>
  <si>
    <t>Пропонований % від річної квоти для включення в ТЗ субреципієнтів на початку 2023</t>
  </si>
  <si>
    <t>Квота PATH</t>
  </si>
  <si>
    <t>Різниця між потребою у супроводі та квотами ОРів та PATH</t>
  </si>
  <si>
    <t>Мережа</t>
  </si>
  <si>
    <t>Альянс</t>
  </si>
  <si>
    <t>територія частково окупована, ведуться активні бойові дії</t>
  </si>
  <si>
    <t>Луганська</t>
  </si>
  <si>
    <t xml:space="preserve">Територія, практично повністю окупована з акт ивними бойовими діями </t>
  </si>
  <si>
    <t xml:space="preserve">території прикордонні з високим ризиком дестабілізації ситуації </t>
  </si>
  <si>
    <t>території прикордонні з високим ризиком дестабілізації ситуації</t>
  </si>
  <si>
    <t>РАЗОМ</t>
  </si>
  <si>
    <t>Перебдачено бюджетом</t>
  </si>
  <si>
    <t>Розподіл від ЦГЗ</t>
  </si>
  <si>
    <t>Різниця 
(бюджет - розподіл від ЦГЗ)</t>
  </si>
  <si>
    <t>Кількість клієнтів, які припадають на першу хвилю оголошення</t>
  </si>
  <si>
    <t>В резерві</t>
  </si>
  <si>
    <t>Вартість одиниці,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</si>
</sst>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_-* #,##0\ _₴_-;\-* #,##0\ _₴_-;_-* &quot;-&quot;\ _₴_-;_-@"/>
    <numFmt numFmtId="165" formatCode="_-* #,##0.00\ [$USD]_-;\-* #,##0.00\ [$USD]_-;_-* &quot;-&quot;??\ [$USD]_-;_-@"/>
    <numFmt numFmtId="166" formatCode="[$$-409]#,##0.00"/>
    <numFmt numFmtId="167" formatCode="_-* #,##0.00_р_._-;\-* #,##0.00_р_._-;_-* &quot;-&quot;??_р_._-;_-@"/>
    <numFmt numFmtId="168" formatCode="_-* #,##0_р_._-;\-* #,##0_р_._-;_-* &quot;-&quot;??_р_._-;_-@"/>
    <numFmt numFmtId="169" formatCode="_-* #,##0\ _р_._-;\-* #,##0\ _р_._-;_-* &quot;-&quot;\ _р_._-;_-@"/>
    <numFmt numFmtId="170" formatCode="_-* #,##0.00\ _г_р_н_._-;\-* #,##0.00\ _г_р_н_._-;_-* &quot;-&quot;??\ _г_р_н_._-;_-@"/>
    <numFmt numFmtId="171" formatCode="_-* #,##0\ _г_р_н_._-;\-* #,##0\ _г_р_н_._-;_-* &quot;-&quot;??\ _г_р_н_._-;_-@"/>
    <numFmt numFmtId="172" formatCode="#,###\ [$UAH];[Red]\-#,###\ [$UAH]"/>
    <numFmt numFmtId="173" formatCode="#,##0.00\ [$UAH];[Red]\-#,##0.00\ [$UAH]"/>
    <numFmt numFmtId="174" formatCode="[$$-409]#,##0.00;\-[$$-409]#,##0.00"/>
    <numFmt numFmtId="175" formatCode="_-* #,##0_₴_-;\-* #,##0_₴_-;_-* &quot;-&quot;_₴_-;_-@"/>
    <numFmt numFmtId="176" formatCode="_-* #,##0.00_₴_-;\-* #,##0.00_₴_-;_-* &quot;-&quot;_₴_-;_-@"/>
    <numFmt numFmtId="177" formatCode="#,##0_р_."/>
    <numFmt numFmtId="178" formatCode="[$$-409]#,##0.00_ ;\-[$$-409]#,##0.00\ "/>
    <numFmt numFmtId="179" formatCode="0.0"/>
    <numFmt numFmtId="180" formatCode="_-* #,##0.000_₴_-;\-* #,##0.000_₴_-;_-* &quot;-&quot;_₴_-;_-@"/>
    <numFmt numFmtId="181" formatCode="_-* #,##0.0_₴_-;\-* #,##0.0_₴_-;_-* &quot;-&quot;_₴_-;_-@"/>
    <numFmt numFmtId="182" formatCode="_-* #,##0.00_р_._-;\-* #,##0.00_р_._-;_-* &quot;-&quot;_р_._-;_-@"/>
    <numFmt numFmtId="183" formatCode="#,##0_ ;\-#,##0\ "/>
    <numFmt numFmtId="184" formatCode="_-* #,##0_₴_-;\-* #,##0_₴_-;_-* &quot;-&quot;??_₴_-;_-@"/>
    <numFmt numFmtId="185" formatCode="_(* #,##0.00_);_(* \(#,##0.00\);_(* &quot;-&quot;??_);_(@_)"/>
    <numFmt numFmtId="186" formatCode="_-* #,##0.00\ _₴_-;\-* #,##0.00\ _₴_-;_-* &quot;-&quot;??\ _₴_-;_-@"/>
    <numFmt numFmtId="187" formatCode="_-* #,##0_-;\-* #,##0_-;_-* &quot;-&quot;??_-;_-@"/>
    <numFmt numFmtId="188" formatCode="_-* #,##0.00\ _₴_-;\-* #,##0.00\ _₴_-;_-* &quot;-&quot;\ _₴_-;_-@"/>
    <numFmt numFmtId="189" formatCode="_-* #,##0.00_₴_-;\-* #,##0.00_₴_-;_-* &quot;-&quot;??_₴_-;_-@"/>
    <numFmt numFmtId="190" formatCode="_-* #,##0.00_-;\-* #,##0.00_-;_-* &quot;-&quot;??_-;_-@"/>
    <numFmt numFmtId="191" formatCode="0.000"/>
  </numFmts>
  <fonts count="84">
    <font>
      <sz val="11"/>
      <color theme="1"/>
      <name val="Calibri"/>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font>
    <font>
      <sz val="11"/>
      <color theme="1"/>
      <name val="Calibri"/>
      <family val="2"/>
      <charset val="204"/>
    </font>
    <font>
      <sz val="11"/>
      <color rgb="FF000000"/>
      <name val="Calibri"/>
      <family val="2"/>
      <charset val="204"/>
    </font>
    <font>
      <sz val="11"/>
      <color rgb="FFFF0000"/>
      <name val="Calibri"/>
      <family val="2"/>
      <charset val="204"/>
    </font>
    <font>
      <b/>
      <sz val="11"/>
      <color rgb="FFFF0000"/>
      <name val="Calibri"/>
      <family val="2"/>
      <charset val="204"/>
    </font>
    <font>
      <sz val="11"/>
      <color rgb="FF548135"/>
      <name val="Calibri"/>
      <family val="2"/>
      <charset val="204"/>
    </font>
    <font>
      <sz val="12"/>
      <color theme="1"/>
      <name val="Arial"/>
      <family val="2"/>
      <charset val="204"/>
    </font>
    <font>
      <b/>
      <sz val="14"/>
      <color theme="1"/>
      <name val="Arial"/>
      <family val="2"/>
      <charset val="204"/>
    </font>
    <font>
      <sz val="11"/>
      <color theme="1"/>
      <name val="Arial"/>
      <family val="2"/>
      <charset val="204"/>
    </font>
    <font>
      <b/>
      <sz val="11"/>
      <color theme="1"/>
      <name val="Arial"/>
      <family val="2"/>
      <charset val="204"/>
    </font>
    <font>
      <b/>
      <sz val="12"/>
      <color theme="1"/>
      <name val="Arial"/>
      <family val="2"/>
      <charset val="204"/>
    </font>
    <font>
      <sz val="11"/>
      <name val="Calibri"/>
      <family val="2"/>
      <charset val="204"/>
    </font>
    <font>
      <u/>
      <sz val="11"/>
      <color rgb="FF0000FF"/>
      <name val="Arial"/>
      <family val="2"/>
      <charset val="204"/>
    </font>
    <font>
      <sz val="10"/>
      <color theme="1"/>
      <name val="Arial"/>
      <family val="2"/>
      <charset val="204"/>
    </font>
    <font>
      <b/>
      <sz val="20"/>
      <color theme="1"/>
      <name val="Arial"/>
      <family val="2"/>
      <charset val="204"/>
    </font>
    <font>
      <b/>
      <sz val="16"/>
      <color theme="1"/>
      <name val="Arial"/>
      <family val="2"/>
      <charset val="204"/>
    </font>
    <font>
      <sz val="12"/>
      <color theme="1"/>
      <name val="Calibri"/>
      <family val="2"/>
      <charset val="204"/>
    </font>
    <font>
      <sz val="10"/>
      <color rgb="FFFF0000"/>
      <name val="Arial"/>
      <family val="2"/>
      <charset val="204"/>
    </font>
    <font>
      <b/>
      <sz val="10"/>
      <color theme="1"/>
      <name val="Arial"/>
      <family val="2"/>
      <charset val="204"/>
    </font>
    <font>
      <b/>
      <sz val="12"/>
      <color theme="1"/>
      <name val="Calibri"/>
      <family val="2"/>
      <charset val="204"/>
    </font>
    <font>
      <sz val="11"/>
      <color rgb="FF000000"/>
      <name val="Arial"/>
      <family val="2"/>
      <charset val="204"/>
    </font>
    <font>
      <b/>
      <sz val="8"/>
      <color theme="1"/>
      <name val="Arial"/>
      <family val="2"/>
      <charset val="204"/>
    </font>
    <font>
      <sz val="9"/>
      <color theme="1"/>
      <name val="Arimo"/>
    </font>
    <font>
      <b/>
      <sz val="11"/>
      <color rgb="FFFF0000"/>
      <name val="Arial"/>
      <family val="2"/>
      <charset val="204"/>
    </font>
    <font>
      <i/>
      <sz val="11"/>
      <color theme="1"/>
      <name val="Arial"/>
      <family val="2"/>
      <charset val="204"/>
    </font>
    <font>
      <sz val="11"/>
      <color rgb="FFFF0000"/>
      <name val="Arial"/>
      <family val="2"/>
      <charset val="204"/>
    </font>
    <font>
      <sz val="8"/>
      <color rgb="FF000000"/>
      <name val="Georgia"/>
      <family val="1"/>
      <charset val="204"/>
    </font>
    <font>
      <i/>
      <u/>
      <sz val="11"/>
      <color rgb="FF0000FF"/>
      <name val="Arial"/>
      <family val="2"/>
      <charset val="204"/>
    </font>
    <font>
      <sz val="7"/>
      <color rgb="FF000000"/>
      <name val="Arial"/>
      <family val="2"/>
      <charset val="204"/>
    </font>
    <font>
      <sz val="8"/>
      <color rgb="FF333300"/>
      <name val="Helvetica Neue"/>
    </font>
    <font>
      <b/>
      <sz val="10"/>
      <color theme="0"/>
      <name val="Arial"/>
      <family val="2"/>
      <charset val="204"/>
    </font>
    <font>
      <sz val="8"/>
      <color rgb="FF000000"/>
      <name val="Helvetica Neue"/>
    </font>
    <font>
      <sz val="10"/>
      <color rgb="FF000000"/>
      <name val="Arial"/>
      <family val="2"/>
      <charset val="204"/>
    </font>
    <font>
      <b/>
      <sz val="11"/>
      <color rgb="FF000000"/>
      <name val="Calibri"/>
      <family val="2"/>
      <charset val="204"/>
    </font>
    <font>
      <sz val="8"/>
      <color theme="1"/>
      <name val="Helvetica Neue"/>
    </font>
    <font>
      <sz val="8"/>
      <color rgb="FFFF0000"/>
      <name val="Helvetica Neue"/>
    </font>
    <font>
      <sz val="10"/>
      <color rgb="FF000000"/>
      <name val="Times New Roman"/>
      <family val="1"/>
      <charset val="204"/>
    </font>
    <font>
      <sz val="10"/>
      <color theme="0"/>
      <name val="Arial"/>
      <family val="2"/>
      <charset val="204"/>
    </font>
    <font>
      <b/>
      <sz val="10"/>
      <color rgb="FFFF0000"/>
      <name val="Arial"/>
      <family val="2"/>
      <charset val="204"/>
    </font>
    <font>
      <b/>
      <sz val="10"/>
      <color theme="1"/>
      <name val="Calibri"/>
      <family val="2"/>
      <charset val="204"/>
    </font>
    <font>
      <sz val="10"/>
      <color rgb="FF000000"/>
      <name val="Calibri"/>
      <family val="2"/>
      <charset val="204"/>
    </font>
    <font>
      <sz val="10"/>
      <color theme="1"/>
      <name val="Calibri"/>
      <family val="2"/>
      <charset val="204"/>
    </font>
    <font>
      <sz val="10"/>
      <color rgb="FFFF0000"/>
      <name val="Calibri"/>
      <family val="2"/>
      <charset val="204"/>
    </font>
    <font>
      <sz val="10"/>
      <color rgb="FF0000FF"/>
      <name val="Arial"/>
      <family val="2"/>
      <charset val="204"/>
    </font>
    <font>
      <sz val="10"/>
      <color rgb="FF0432FF"/>
      <name val="Arial"/>
      <family val="2"/>
      <charset val="204"/>
    </font>
    <font>
      <sz val="10"/>
      <color theme="1"/>
      <name val="Times New Roman"/>
      <family val="1"/>
      <charset val="204"/>
    </font>
    <font>
      <sz val="10"/>
      <color rgb="FF0432FF"/>
      <name val="Calibri"/>
      <family val="2"/>
      <charset val="204"/>
    </font>
    <font>
      <sz val="10"/>
      <color rgb="FF0000FF"/>
      <name val="Calibri"/>
      <family val="2"/>
      <charset val="204"/>
    </font>
    <font>
      <sz val="10"/>
      <color rgb="FF7030A0"/>
      <name val="Arial"/>
      <family val="2"/>
      <charset val="204"/>
    </font>
    <font>
      <b/>
      <sz val="11"/>
      <color rgb="FF000000"/>
      <name val="Arial"/>
      <family val="2"/>
      <charset val="204"/>
    </font>
    <font>
      <b/>
      <sz val="12"/>
      <color rgb="FF000000"/>
      <name val="Arial"/>
      <family val="2"/>
      <charset val="204"/>
    </font>
    <font>
      <sz val="11"/>
      <color rgb="FF548135"/>
      <name val="Arial"/>
      <family val="2"/>
      <charset val="204"/>
    </font>
    <font>
      <b/>
      <sz val="11"/>
      <color rgb="FF548135"/>
      <name val="Arial"/>
      <family val="2"/>
      <charset val="204"/>
    </font>
    <font>
      <sz val="11"/>
      <color rgb="FF0070C0"/>
      <name val="Calibri"/>
      <family val="2"/>
      <charset val="204"/>
    </font>
    <font>
      <b/>
      <sz val="11"/>
      <color theme="1"/>
      <name val="Calibri"/>
      <family val="2"/>
      <charset val="204"/>
      <scheme val="minor"/>
    </font>
    <font>
      <sz val="11"/>
      <name val="Calibri"/>
      <family val="2"/>
      <charset val="204"/>
      <scheme val="minor"/>
    </font>
    <font>
      <sz val="11"/>
      <color theme="1"/>
      <name val="Calibri"/>
      <family val="2"/>
      <scheme val="minor"/>
    </font>
    <font>
      <b/>
      <sz val="10"/>
      <color theme="1"/>
      <name val="Calibri"/>
      <family val="2"/>
      <scheme val="minor"/>
    </font>
    <font>
      <sz val="10"/>
      <color theme="1"/>
      <name val="Calibri"/>
      <family val="2"/>
      <scheme val="minor"/>
    </font>
    <font>
      <sz val="10"/>
      <name val="Arial"/>
      <family val="2"/>
      <charset val="204"/>
    </font>
    <font>
      <b/>
      <sz val="12"/>
      <name val="Times New Roman"/>
      <family val="1"/>
      <charset val="204"/>
    </font>
    <font>
      <sz val="10"/>
      <name val="Arial Cyr"/>
      <charset val="204"/>
    </font>
    <font>
      <sz val="12"/>
      <color theme="1"/>
      <name val="Times New Roman"/>
      <family val="1"/>
      <charset val="204"/>
    </font>
    <font>
      <b/>
      <sz val="11"/>
      <color theme="1"/>
      <name val="Times New Roman"/>
      <family val="1"/>
      <charset val="204"/>
    </font>
    <font>
      <b/>
      <sz val="8"/>
      <color theme="1"/>
      <name val="Calibri"/>
      <family val="2"/>
      <charset val="204"/>
      <scheme val="minor"/>
    </font>
    <font>
      <sz val="11"/>
      <color rgb="FFFF0000"/>
      <name val="Calibri"/>
      <family val="2"/>
      <scheme val="minor"/>
    </font>
    <font>
      <sz val="8"/>
      <name val="Calibri"/>
      <family val="2"/>
      <charset val="204"/>
      <scheme val="minor"/>
    </font>
    <font>
      <strike/>
      <sz val="11"/>
      <color rgb="FFFF0000"/>
      <name val="Calibri"/>
      <family val="2"/>
      <charset val="204"/>
    </font>
    <font>
      <strike/>
      <sz val="11"/>
      <color theme="1"/>
      <name val="Calibri"/>
      <family val="2"/>
      <charset val="204"/>
    </font>
    <font>
      <sz val="8"/>
      <name val="Arial"/>
      <family val="2"/>
    </font>
    <font>
      <b/>
      <i/>
      <sz val="10"/>
      <color indexed="24"/>
      <name val="Calibri"/>
      <family val="1"/>
      <charset val="204"/>
      <scheme val="major"/>
    </font>
    <font>
      <sz val="10"/>
      <name val="Calibri"/>
      <family val="1"/>
      <charset val="204"/>
      <scheme val="major"/>
    </font>
    <font>
      <sz val="10"/>
      <color indexed="8"/>
      <name val="Calibri"/>
      <family val="1"/>
      <charset val="204"/>
      <scheme val="major"/>
    </font>
    <font>
      <sz val="10"/>
      <color theme="1"/>
      <name val="Calibri"/>
      <family val="1"/>
      <charset val="204"/>
      <scheme val="major"/>
    </font>
    <font>
      <sz val="10"/>
      <color indexed="24"/>
      <name val="Calibri"/>
      <family val="1"/>
      <charset val="204"/>
      <scheme val="major"/>
    </font>
    <font>
      <u/>
      <sz val="11"/>
      <color theme="10"/>
      <name val="Calibri"/>
      <family val="2"/>
      <scheme val="minor"/>
    </font>
    <font>
      <b/>
      <sz val="10"/>
      <color rgb="FFFFFF00"/>
      <name val="Calibri"/>
      <family val="2"/>
      <charset val="204"/>
      <scheme val="minor"/>
    </font>
    <font>
      <sz val="10"/>
      <color theme="1"/>
      <name val="Calibri"/>
      <family val="2"/>
      <charset val="204"/>
      <scheme val="minor"/>
    </font>
    <font>
      <b/>
      <sz val="11"/>
      <color rgb="FF000000"/>
      <name val="Calibri"/>
      <family val="2"/>
      <charset val="204"/>
    </font>
    <font>
      <sz val="11"/>
      <color rgb="FF000000"/>
      <name val="Calibri"/>
      <family val="2"/>
      <charset val="204"/>
    </font>
  </fonts>
  <fills count="4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FF2CC"/>
        <bgColor rgb="FFFFF2CC"/>
      </patternFill>
    </fill>
    <fill>
      <patternFill patternType="solid">
        <fgColor rgb="FFD9D9D9"/>
        <bgColor rgb="FFD9D9D9"/>
      </patternFill>
    </fill>
    <fill>
      <patternFill patternType="solid">
        <fgColor rgb="FFB4C6E7"/>
        <bgColor rgb="FFB4C6E7"/>
      </patternFill>
    </fill>
    <fill>
      <patternFill patternType="solid">
        <fgColor rgb="FFFFFF00"/>
        <bgColor rgb="FFFFFF00"/>
      </patternFill>
    </fill>
    <fill>
      <patternFill patternType="solid">
        <fgColor rgb="FFD8D8D8"/>
        <bgColor rgb="FFD8D8D8"/>
      </patternFill>
    </fill>
    <fill>
      <patternFill patternType="solid">
        <fgColor rgb="FFFFC000"/>
        <bgColor rgb="FFFFC000"/>
      </patternFill>
    </fill>
    <fill>
      <patternFill patternType="solid">
        <fgColor rgb="FF92D050"/>
        <bgColor rgb="FF92D050"/>
      </patternFill>
    </fill>
    <fill>
      <patternFill patternType="solid">
        <fgColor rgb="FFE5E5E5"/>
        <bgColor rgb="FFE5E5E5"/>
      </patternFill>
    </fill>
    <fill>
      <patternFill patternType="solid">
        <fgColor rgb="FFA8D08D"/>
        <bgColor rgb="FFA8D08D"/>
      </patternFill>
    </fill>
    <fill>
      <patternFill patternType="solid">
        <fgColor rgb="FFBFBFBF"/>
        <bgColor rgb="FFBFBFBF"/>
      </patternFill>
    </fill>
    <fill>
      <patternFill patternType="solid">
        <fgColor rgb="FFBDD6EE"/>
        <bgColor rgb="FFBDD6EE"/>
      </patternFill>
    </fill>
    <fill>
      <patternFill patternType="solid">
        <fgColor rgb="FFB6E4E6"/>
        <bgColor rgb="FFB6E4E6"/>
      </patternFill>
    </fill>
    <fill>
      <patternFill patternType="solid">
        <fgColor rgb="FFCCCCCC"/>
        <bgColor rgb="FFCCCCCC"/>
      </patternFill>
    </fill>
    <fill>
      <patternFill patternType="solid">
        <fgColor rgb="FFF2F2F2"/>
        <bgColor rgb="FFF2F2F2"/>
      </patternFill>
    </fill>
    <fill>
      <patternFill patternType="solid">
        <fgColor rgb="FF9CC2E5"/>
        <bgColor rgb="FF9CC2E5"/>
      </patternFill>
    </fill>
    <fill>
      <patternFill patternType="solid">
        <fgColor rgb="FF8DB4E2"/>
        <bgColor rgb="FF8DB4E2"/>
      </patternFill>
    </fill>
    <fill>
      <patternFill patternType="solid">
        <fgColor rgb="FF989898"/>
        <bgColor rgb="FF989898"/>
      </patternFill>
    </fill>
    <fill>
      <patternFill patternType="solid">
        <fgColor rgb="FFC0C0C0"/>
        <bgColor rgb="FFC0C0C0"/>
      </patternFill>
    </fill>
    <fill>
      <patternFill patternType="solid">
        <fgColor rgb="FF0000FF"/>
        <bgColor rgb="FF0000FF"/>
      </patternFill>
    </fill>
    <fill>
      <patternFill patternType="solid">
        <fgColor rgb="FF00B0F0"/>
        <bgColor rgb="FF00B0F0"/>
      </patternFill>
    </fill>
    <fill>
      <patternFill patternType="solid">
        <fgColor rgb="FFFF66FF"/>
        <bgColor rgb="FFFF66FF"/>
      </patternFill>
    </fill>
    <fill>
      <patternFill patternType="solid">
        <fgColor rgb="FF8EAADB"/>
        <bgColor rgb="FF8EAADB"/>
      </patternFill>
    </fill>
    <fill>
      <patternFill patternType="solid">
        <fgColor rgb="FF7030A0"/>
        <bgColor rgb="FF7030A0"/>
      </patternFill>
    </fill>
    <fill>
      <patternFill patternType="solid">
        <fgColor rgb="FF7F7F7F"/>
        <bgColor rgb="FF7F7F7F"/>
      </patternFill>
    </fill>
    <fill>
      <patternFill patternType="solid">
        <fgColor rgb="FFFF0000"/>
        <bgColor rgb="FFFF0000"/>
      </patternFill>
    </fill>
    <fill>
      <patternFill patternType="solid">
        <fgColor rgb="FFF4B083"/>
        <bgColor rgb="FFF4B083"/>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theme="4" tint="0.59999389629810485"/>
      </patternFill>
    </fill>
    <fill>
      <patternFill patternType="solid">
        <fgColor theme="7"/>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B050"/>
        <bgColor indexed="64"/>
      </patternFill>
    </fill>
    <fill>
      <patternFill patternType="solid">
        <fgColor rgb="FFFFFF00"/>
        <bgColor rgb="FFFFFFFF"/>
      </patternFill>
    </fill>
    <fill>
      <patternFill patternType="solid">
        <fgColor theme="8" tint="0.79998168889431442"/>
        <bgColor indexed="64"/>
      </patternFill>
    </fill>
    <fill>
      <patternFill patternType="solid">
        <fgColor indexed="9"/>
        <bgColor indexed="64"/>
      </patternFill>
    </fill>
    <fill>
      <patternFill patternType="solid">
        <fgColor rgb="FFFFFFFF"/>
        <bgColor indexed="64"/>
      </patternFill>
    </fill>
    <fill>
      <patternFill patternType="solid">
        <fgColor rgb="FFE7E6E6"/>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right/>
      <top style="thin">
        <color rgb="FF000000"/>
      </top>
      <bottom style="thin">
        <color rgb="FF000000"/>
      </bottom>
      <diagonal/>
    </border>
    <border>
      <left/>
      <right style="medium">
        <color rgb="FF000000"/>
      </right>
      <top/>
      <bottom/>
      <diagonal/>
    </border>
    <border>
      <left style="thin">
        <color rgb="FF000000"/>
      </left>
      <right/>
      <top/>
      <bottom/>
      <diagonal/>
    </border>
    <border>
      <left/>
      <right/>
      <top/>
      <bottom/>
      <diagonal/>
    </border>
    <border>
      <left/>
      <right/>
      <top/>
      <bottom style="thin">
        <color rgb="FF000000"/>
      </bottom>
      <diagonal/>
    </border>
    <border>
      <left/>
      <right/>
      <top style="thin">
        <color rgb="FF000000"/>
      </top>
      <bottom/>
      <diagonal/>
    </border>
    <border>
      <left/>
      <right style="thin">
        <color rgb="FF000000"/>
      </right>
      <top/>
      <bottom/>
      <diagonal/>
    </border>
    <border>
      <left style="medium">
        <color rgb="FF000000"/>
      </left>
      <right style="thin">
        <color rgb="FF000000"/>
      </right>
      <top/>
      <bottom style="thin">
        <color rgb="FF000000"/>
      </bottom>
      <diagonal/>
    </border>
    <border>
      <left style="thin">
        <color rgb="FF993300"/>
      </left>
      <right style="thin">
        <color rgb="FF993300"/>
      </right>
      <top style="thin">
        <color rgb="FF993300"/>
      </top>
      <bottom style="thin">
        <color rgb="FF993300"/>
      </bottom>
      <diagonal/>
    </border>
    <border>
      <left style="thin">
        <color rgb="FF000000"/>
      </left>
      <right style="dotted">
        <color rgb="FF000000"/>
      </right>
      <top style="thin">
        <color rgb="FF000000"/>
      </top>
      <bottom style="dotted">
        <color rgb="FF000000"/>
      </bottom>
      <diagonal/>
    </border>
    <border>
      <left style="thin">
        <color rgb="FF993300"/>
      </left>
      <right style="thin">
        <color rgb="FF993300"/>
      </right>
      <top style="thin">
        <color rgb="FF993300"/>
      </top>
      <bottom style="medium">
        <color rgb="FF000000"/>
      </bottom>
      <diagonal/>
    </border>
    <border>
      <left style="thin">
        <color rgb="FF993300"/>
      </left>
      <right style="thin">
        <color rgb="FF993300"/>
      </right>
      <top/>
      <bottom style="thin">
        <color rgb="FF993300"/>
      </bottom>
      <diagonal/>
    </border>
    <border>
      <left style="thin">
        <color rgb="FF993300"/>
      </left>
      <right style="thin">
        <color rgb="FF000000"/>
      </right>
      <top style="thin">
        <color rgb="FF000000"/>
      </top>
      <bottom style="medium">
        <color rgb="FF000000"/>
      </bottom>
      <diagonal/>
    </border>
    <border>
      <left style="thin">
        <color rgb="FF000000"/>
      </left>
      <right style="dotted">
        <color rgb="FF000000"/>
      </right>
      <top style="thin">
        <color rgb="FF000000"/>
      </top>
      <bottom style="medium">
        <color rgb="FF000000"/>
      </bottom>
      <diagonal/>
    </border>
    <border>
      <left style="thin">
        <color rgb="FF000000"/>
      </left>
      <right style="dotted">
        <color rgb="FF000000"/>
      </right>
      <top/>
      <bottom style="dotted">
        <color rgb="FF000000"/>
      </bottom>
      <diagonal/>
    </border>
    <border>
      <left style="thin">
        <color rgb="FF993300"/>
      </left>
      <right style="thin">
        <color rgb="FF993300"/>
      </right>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26"/>
      </left>
      <right style="thin">
        <color indexed="26"/>
      </right>
      <top style="thin">
        <color indexed="26"/>
      </top>
      <bottom/>
      <diagonal/>
    </border>
    <border>
      <left/>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s>
  <cellStyleXfs count="9">
    <xf numFmtId="0" fontId="0" fillId="0" borderId="0"/>
    <xf numFmtId="0" fontId="3" fillId="0" borderId="16"/>
    <xf numFmtId="0" fontId="60" fillId="0" borderId="16"/>
    <xf numFmtId="0" fontId="63" fillId="0" borderId="16"/>
    <xf numFmtId="0" fontId="65" fillId="0" borderId="16"/>
    <xf numFmtId="9" fontId="60" fillId="0" borderId="16" applyFont="0" applyFill="0" applyBorder="0" applyAlignment="0" applyProtection="0"/>
    <xf numFmtId="0" fontId="2" fillId="0" borderId="16"/>
    <xf numFmtId="0" fontId="73" fillId="0" borderId="16"/>
    <xf numFmtId="0" fontId="79" fillId="0" borderId="16" applyNumberFormat="0" applyFill="0" applyBorder="0" applyAlignment="0" applyProtection="0"/>
  </cellStyleXfs>
  <cellXfs count="949">
    <xf numFmtId="0" fontId="0" fillId="0" borderId="0" xfId="0"/>
    <xf numFmtId="0" fontId="4" fillId="0" borderId="1" xfId="0" applyFont="1" applyBorder="1" applyAlignment="1">
      <alignment wrapText="1"/>
    </xf>
    <xf numFmtId="3" fontId="4" fillId="0" borderId="1" xfId="0" applyNumberFormat="1" applyFont="1" applyBorder="1" applyAlignment="1">
      <alignment wrapText="1"/>
    </xf>
    <xf numFmtId="0" fontId="4" fillId="0" borderId="0" xfId="0" applyFont="1" applyAlignment="1">
      <alignment wrapText="1"/>
    </xf>
    <xf numFmtId="0" fontId="5" fillId="0" borderId="0" xfId="0" applyFont="1"/>
    <xf numFmtId="0" fontId="5" fillId="0" borderId="1" xfId="0" applyFont="1" applyBorder="1" applyAlignment="1">
      <alignment wrapText="1"/>
    </xf>
    <xf numFmtId="0" fontId="5" fillId="2" borderId="1" xfId="0" applyFont="1" applyFill="1" applyBorder="1" applyAlignment="1">
      <alignment horizontal="left" vertical="top"/>
    </xf>
    <xf numFmtId="3" fontId="5" fillId="0" borderId="1" xfId="0" applyNumberFormat="1" applyFont="1" applyBorder="1" applyAlignment="1">
      <alignment wrapText="1"/>
    </xf>
    <xf numFmtId="0" fontId="6" fillId="0" borderId="1" xfId="0" applyFont="1" applyBorder="1" applyAlignment="1">
      <alignment wrapText="1"/>
    </xf>
    <xf numFmtId="0" fontId="5" fillId="0" borderId="0" xfId="0" applyFont="1" applyAlignment="1">
      <alignment wrapText="1"/>
    </xf>
    <xf numFmtId="3" fontId="5" fillId="0" borderId="0" xfId="0" applyNumberFormat="1" applyFont="1" applyAlignment="1">
      <alignment wrapText="1"/>
    </xf>
    <xf numFmtId="0" fontId="7" fillId="0" borderId="1" xfId="0" applyFont="1" applyBorder="1" applyAlignment="1">
      <alignment wrapText="1"/>
    </xf>
    <xf numFmtId="0" fontId="8" fillId="0" borderId="1" xfId="0" applyFont="1" applyBorder="1" applyAlignment="1">
      <alignment wrapText="1"/>
    </xf>
    <xf numFmtId="3" fontId="7" fillId="0" borderId="1" xfId="0" applyNumberFormat="1" applyFont="1" applyBorder="1" applyAlignment="1">
      <alignment wrapText="1"/>
    </xf>
    <xf numFmtId="0" fontId="7" fillId="0" borderId="0" xfId="0" applyFont="1" applyAlignment="1">
      <alignment wrapText="1"/>
    </xf>
    <xf numFmtId="3" fontId="7" fillId="0" borderId="0" xfId="0" applyNumberFormat="1" applyFont="1" applyAlignment="1">
      <alignment wrapText="1"/>
    </xf>
    <xf numFmtId="1" fontId="5" fillId="0" borderId="1" xfId="0" applyNumberFormat="1" applyFont="1" applyBorder="1" applyAlignment="1">
      <alignment horizontal="right" wrapText="1"/>
    </xf>
    <xf numFmtId="1" fontId="5" fillId="3" borderId="1" xfId="0" applyNumberFormat="1" applyFont="1" applyFill="1" applyBorder="1" applyAlignment="1">
      <alignment horizontal="left" vertical="top"/>
    </xf>
    <xf numFmtId="1" fontId="5" fillId="0" borderId="1" xfId="0" applyNumberFormat="1" applyFont="1" applyBorder="1" applyAlignment="1">
      <alignment horizontal="left" vertical="top"/>
    </xf>
    <xf numFmtId="4" fontId="5" fillId="0" borderId="0" xfId="0" applyNumberFormat="1" applyFont="1" applyAlignment="1">
      <alignment wrapText="1"/>
    </xf>
    <xf numFmtId="164" fontId="7" fillId="0" borderId="0" xfId="0" applyNumberFormat="1" applyFont="1" applyAlignment="1">
      <alignment wrapText="1"/>
    </xf>
    <xf numFmtId="164" fontId="5" fillId="0" borderId="0" xfId="0" applyNumberFormat="1" applyFont="1"/>
    <xf numFmtId="0" fontId="9" fillId="0" borderId="1" xfId="0" applyFont="1" applyBorder="1" applyAlignment="1">
      <alignment wrapText="1"/>
    </xf>
    <xf numFmtId="0" fontId="5" fillId="0" borderId="2" xfId="0" applyFont="1" applyBorder="1" applyAlignment="1">
      <alignment wrapText="1"/>
    </xf>
    <xf numFmtId="3" fontId="5" fillId="0" borderId="2" xfId="0" applyNumberFormat="1" applyFont="1" applyBorder="1" applyAlignment="1">
      <alignment wrapText="1"/>
    </xf>
    <xf numFmtId="1" fontId="5" fillId="0" borderId="2" xfId="0" applyNumberFormat="1" applyFont="1" applyBorder="1" applyAlignment="1">
      <alignment horizontal="right" wrapText="1"/>
    </xf>
    <xf numFmtId="0" fontId="7" fillId="0" borderId="0" xfId="0" applyFont="1"/>
    <xf numFmtId="1" fontId="5" fillId="0" borderId="3" xfId="0" applyNumberFormat="1" applyFont="1" applyBorder="1" applyAlignment="1">
      <alignment horizontal="left" vertical="top" wrapText="1"/>
    </xf>
    <xf numFmtId="164" fontId="5" fillId="0" borderId="0" xfId="0" applyNumberFormat="1" applyFont="1" applyAlignment="1">
      <alignment wrapText="1"/>
    </xf>
    <xf numFmtId="1" fontId="5" fillId="3" borderId="4" xfId="0" applyNumberFormat="1" applyFont="1" applyFill="1" applyBorder="1" applyAlignment="1">
      <alignment horizontal="left" vertical="top" wrapText="1"/>
    </xf>
    <xf numFmtId="1" fontId="5" fillId="0" borderId="4" xfId="0" applyNumberFormat="1" applyFont="1" applyBorder="1" applyAlignment="1">
      <alignment horizontal="left" vertical="top" wrapText="1"/>
    </xf>
    <xf numFmtId="1" fontId="5" fillId="3" borderId="5" xfId="0" applyNumberFormat="1" applyFont="1" applyFill="1" applyBorder="1" applyAlignment="1">
      <alignment horizontal="left" vertical="top" wrapText="1"/>
    </xf>
    <xf numFmtId="0" fontId="7" fillId="4" borderId="0" xfId="0" applyFont="1" applyFill="1" applyAlignment="1">
      <alignment wrapText="1"/>
    </xf>
    <xf numFmtId="0" fontId="5" fillId="0" borderId="1" xfId="0" applyFont="1" applyBorder="1" applyAlignment="1">
      <alignment horizontal="left" vertical="top"/>
    </xf>
    <xf numFmtId="164" fontId="5" fillId="0" borderId="1" xfId="0" applyNumberFormat="1" applyFont="1" applyBorder="1" applyAlignment="1">
      <alignment wrapText="1"/>
    </xf>
    <xf numFmtId="1" fontId="5" fillId="0" borderId="1" xfId="0" applyNumberFormat="1" applyFont="1" applyBorder="1" applyAlignment="1">
      <alignment wrapText="1"/>
    </xf>
    <xf numFmtId="164" fontId="7" fillId="4" borderId="0" xfId="0" applyNumberFormat="1" applyFont="1" applyFill="1" applyAlignment="1">
      <alignment wrapText="1"/>
    </xf>
    <xf numFmtId="1" fontId="5" fillId="3" borderId="5" xfId="0" applyNumberFormat="1" applyFont="1" applyFill="1" applyBorder="1" applyAlignment="1">
      <alignment horizontal="left" vertical="top"/>
    </xf>
    <xf numFmtId="3" fontId="5" fillId="0" borderId="0" xfId="0" applyNumberFormat="1" applyFont="1"/>
    <xf numFmtId="0" fontId="10" fillId="0" borderId="0" xfId="0" applyFont="1"/>
    <xf numFmtId="0" fontId="14" fillId="0" borderId="0" xfId="0" applyFont="1"/>
    <xf numFmtId="0" fontId="12" fillId="0" borderId="0" xfId="0" applyFont="1" applyAlignment="1">
      <alignment vertical="top"/>
    </xf>
    <xf numFmtId="165" fontId="12" fillId="0" borderId="0" xfId="0" applyNumberFormat="1" applyFont="1" applyAlignment="1">
      <alignment vertical="top"/>
    </xf>
    <xf numFmtId="0" fontId="13" fillId="6" borderId="4" xfId="0" applyFont="1" applyFill="1" applyBorder="1" applyAlignment="1">
      <alignment horizontal="center" vertical="center" wrapText="1"/>
    </xf>
    <xf numFmtId="0" fontId="12" fillId="0" borderId="1" xfId="0" applyFont="1" applyBorder="1" applyAlignment="1">
      <alignment vertical="top" wrapText="1"/>
    </xf>
    <xf numFmtId="0" fontId="12" fillId="0" borderId="1" xfId="0" applyFont="1" applyBorder="1" applyAlignment="1">
      <alignment vertical="top"/>
    </xf>
    <xf numFmtId="3" fontId="12" fillId="7" borderId="1" xfId="0" applyNumberFormat="1" applyFont="1" applyFill="1" applyBorder="1" applyAlignment="1">
      <alignment vertical="top"/>
    </xf>
    <xf numFmtId="3" fontId="12" fillId="0" borderId="1" xfId="0" applyNumberFormat="1" applyFont="1" applyBorder="1" applyAlignment="1">
      <alignment vertical="top"/>
    </xf>
    <xf numFmtId="0" fontId="12" fillId="3" borderId="1" xfId="0" applyFont="1" applyFill="1" applyBorder="1" applyAlignment="1">
      <alignment vertical="top"/>
    </xf>
    <xf numFmtId="0" fontId="12" fillId="0" borderId="4" xfId="0" applyFont="1" applyBorder="1" applyAlignment="1">
      <alignment vertical="top" wrapText="1"/>
    </xf>
    <xf numFmtId="0" fontId="12" fillId="0" borderId="4" xfId="0" applyFont="1" applyBorder="1" applyAlignment="1">
      <alignment vertical="top"/>
    </xf>
    <xf numFmtId="9" fontId="12" fillId="0" borderId="4" xfId="0" applyNumberFormat="1" applyFont="1" applyBorder="1" applyAlignment="1">
      <alignment vertical="top"/>
    </xf>
    <xf numFmtId="166" fontId="12" fillId="0" borderId="4" xfId="0" applyNumberFormat="1" applyFont="1" applyBorder="1" applyAlignment="1">
      <alignment vertical="top"/>
    </xf>
    <xf numFmtId="3" fontId="12" fillId="0" borderId="4" xfId="0" applyNumberFormat="1" applyFont="1" applyBorder="1" applyAlignment="1">
      <alignment vertical="top"/>
    </xf>
    <xf numFmtId="3" fontId="12" fillId="7" borderId="5" xfId="0" applyNumberFormat="1" applyFont="1" applyFill="1" applyBorder="1" applyAlignment="1">
      <alignment vertical="top"/>
    </xf>
    <xf numFmtId="0" fontId="16" fillId="0" borderId="4" xfId="0" applyFont="1" applyBorder="1" applyAlignment="1">
      <alignment vertical="top"/>
    </xf>
    <xf numFmtId="0" fontId="12" fillId="0" borderId="1" xfId="0" applyFont="1" applyBorder="1" applyAlignment="1">
      <alignment horizontal="left" vertical="center" wrapText="1"/>
    </xf>
    <xf numFmtId="165" fontId="12" fillId="0" borderId="4" xfId="0" applyNumberFormat="1" applyFont="1" applyBorder="1" applyAlignment="1">
      <alignment vertical="top"/>
    </xf>
    <xf numFmtId="0" fontId="14" fillId="0" borderId="0" xfId="0" applyFont="1" applyAlignment="1">
      <alignment horizontal="center" vertical="top"/>
    </xf>
    <xf numFmtId="0" fontId="11" fillId="0" borderId="0" xfId="0" applyFont="1" applyAlignment="1">
      <alignment vertical="top"/>
    </xf>
    <xf numFmtId="2" fontId="11" fillId="0" borderId="0" xfId="0" applyNumberFormat="1" applyFont="1" applyAlignment="1">
      <alignment vertical="top"/>
    </xf>
    <xf numFmtId="0" fontId="17" fillId="0" borderId="0" xfId="0" applyFont="1" applyAlignment="1">
      <alignment vertical="top"/>
    </xf>
    <xf numFmtId="167" fontId="17" fillId="0" borderId="0" xfId="0" applyNumberFormat="1" applyFont="1" applyAlignment="1">
      <alignment horizontal="center" vertical="top"/>
    </xf>
    <xf numFmtId="0" fontId="17" fillId="0" borderId="0" xfId="0" applyFont="1" applyAlignment="1">
      <alignment horizontal="center" vertical="top"/>
    </xf>
    <xf numFmtId="168" fontId="17" fillId="0" borderId="0" xfId="0" applyNumberFormat="1" applyFont="1" applyAlignment="1">
      <alignment vertical="top"/>
    </xf>
    <xf numFmtId="0" fontId="19" fillId="0" borderId="0" xfId="0" applyFont="1" applyAlignment="1">
      <alignment vertical="top"/>
    </xf>
    <xf numFmtId="168" fontId="17" fillId="0" borderId="0" xfId="0" applyNumberFormat="1" applyFont="1" applyAlignment="1">
      <alignment vertical="top" wrapText="1"/>
    </xf>
    <xf numFmtId="0" fontId="20" fillId="0" borderId="0" xfId="0" applyFont="1"/>
    <xf numFmtId="0" fontId="21" fillId="0" borderId="0" xfId="0" applyFont="1" applyAlignment="1">
      <alignment vertical="top"/>
    </xf>
    <xf numFmtId="0" fontId="21" fillId="0" borderId="0" xfId="0" applyFont="1" applyAlignment="1">
      <alignment horizontal="center" vertical="top"/>
    </xf>
    <xf numFmtId="168" fontId="21" fillId="0" borderId="0" xfId="0" applyNumberFormat="1" applyFont="1" applyAlignment="1">
      <alignment vertical="top"/>
    </xf>
    <xf numFmtId="167" fontId="17" fillId="0" borderId="0" xfId="0" applyNumberFormat="1" applyFont="1" applyAlignment="1">
      <alignment vertical="top"/>
    </xf>
    <xf numFmtId="0" fontId="22" fillId="6" borderId="1" xfId="0" applyFont="1" applyFill="1" applyBorder="1" applyAlignment="1">
      <alignment horizontal="center" vertical="center" wrapText="1"/>
    </xf>
    <xf numFmtId="167" fontId="22" fillId="6" borderId="1" xfId="0" applyNumberFormat="1" applyFont="1" applyFill="1" applyBorder="1" applyAlignment="1">
      <alignment horizontal="center" vertical="center" wrapText="1"/>
    </xf>
    <xf numFmtId="168" fontId="22" fillId="6" borderId="1" xfId="0" applyNumberFormat="1" applyFont="1" applyFill="1" applyBorder="1" applyAlignment="1">
      <alignment horizontal="center" vertical="center" wrapText="1"/>
    </xf>
    <xf numFmtId="0" fontId="17" fillId="0" borderId="1" xfId="0" applyFont="1" applyBorder="1" applyAlignment="1">
      <alignment horizontal="center" vertical="top"/>
    </xf>
    <xf numFmtId="0" fontId="17" fillId="0" borderId="1" xfId="0" applyFont="1" applyBorder="1" applyAlignment="1">
      <alignment vertical="top"/>
    </xf>
    <xf numFmtId="169" fontId="17" fillId="0" borderId="1" xfId="0" applyNumberFormat="1" applyFont="1" applyBorder="1" applyAlignment="1">
      <alignment vertical="top"/>
    </xf>
    <xf numFmtId="169" fontId="17" fillId="0" borderId="8" xfId="0" applyNumberFormat="1" applyFont="1" applyBorder="1" applyAlignment="1">
      <alignment vertical="top"/>
    </xf>
    <xf numFmtId="0" fontId="17" fillId="0" borderId="1" xfId="0" applyFont="1" applyBorder="1" applyAlignment="1">
      <alignment horizontal="left" vertical="top" wrapText="1"/>
    </xf>
    <xf numFmtId="169" fontId="10" fillId="0" borderId="0" xfId="0" applyNumberFormat="1" applyFont="1"/>
    <xf numFmtId="9" fontId="17" fillId="0" borderId="1" xfId="0" applyNumberFormat="1" applyFont="1" applyBorder="1" applyAlignment="1">
      <alignment vertical="top"/>
    </xf>
    <xf numFmtId="168" fontId="17" fillId="0" borderId="1" xfId="0" applyNumberFormat="1" applyFont="1" applyBorder="1" applyAlignment="1">
      <alignment vertical="top"/>
    </xf>
    <xf numFmtId="0" fontId="14" fillId="6" borderId="1" xfId="0" applyFont="1" applyFill="1" applyBorder="1" applyAlignment="1">
      <alignment vertical="top"/>
    </xf>
    <xf numFmtId="167" fontId="14" fillId="6" borderId="1" xfId="0" applyNumberFormat="1" applyFont="1" applyFill="1" applyBorder="1" applyAlignment="1">
      <alignment vertical="top"/>
    </xf>
    <xf numFmtId="0" fontId="14" fillId="6" borderId="1" xfId="0" applyFont="1" applyFill="1" applyBorder="1" applyAlignment="1">
      <alignment horizontal="center" vertical="top"/>
    </xf>
    <xf numFmtId="168" fontId="14" fillId="6" borderId="1" xfId="0" applyNumberFormat="1" applyFont="1" applyFill="1" applyBorder="1" applyAlignment="1">
      <alignment vertical="top"/>
    </xf>
    <xf numFmtId="168" fontId="17" fillId="0" borderId="9" xfId="0" applyNumberFormat="1" applyFont="1" applyBorder="1" applyAlignment="1">
      <alignment vertical="top" wrapText="1"/>
    </xf>
    <xf numFmtId="168" fontId="17" fillId="0" borderId="10" xfId="0" applyNumberFormat="1" applyFont="1" applyBorder="1" applyAlignment="1">
      <alignment vertical="top"/>
    </xf>
    <xf numFmtId="168" fontId="22" fillId="0" borderId="1" xfId="0" applyNumberFormat="1" applyFont="1" applyBorder="1" applyAlignment="1">
      <alignment vertical="top"/>
    </xf>
    <xf numFmtId="168" fontId="17" fillId="0" borderId="11" xfId="0" applyNumberFormat="1" applyFont="1" applyBorder="1" applyAlignment="1">
      <alignment vertical="top" wrapText="1"/>
    </xf>
    <xf numFmtId="168" fontId="17" fillId="0" borderId="8" xfId="0" applyNumberFormat="1" applyFont="1" applyBorder="1" applyAlignment="1">
      <alignment vertical="top"/>
    </xf>
    <xf numFmtId="168" fontId="17" fillId="0" borderId="1" xfId="0" applyNumberFormat="1" applyFont="1" applyBorder="1" applyAlignment="1">
      <alignment horizontal="right" vertical="top"/>
    </xf>
    <xf numFmtId="168" fontId="10" fillId="0" borderId="0" xfId="0" applyNumberFormat="1" applyFont="1"/>
    <xf numFmtId="168" fontId="10" fillId="0" borderId="1" xfId="0" applyNumberFormat="1" applyFont="1" applyBorder="1"/>
    <xf numFmtId="0" fontId="17" fillId="0" borderId="1" xfId="0" applyFont="1" applyBorder="1" applyAlignment="1">
      <alignment vertical="top" wrapText="1"/>
    </xf>
    <xf numFmtId="0" fontId="17" fillId="0" borderId="0" xfId="0" applyFont="1"/>
    <xf numFmtId="170" fontId="17" fillId="0" borderId="0" xfId="0" applyNumberFormat="1" applyFont="1"/>
    <xf numFmtId="168" fontId="17" fillId="0" borderId="0" xfId="0" applyNumberFormat="1" applyFont="1"/>
    <xf numFmtId="0" fontId="21" fillId="0" borderId="0" xfId="0" applyFont="1"/>
    <xf numFmtId="0" fontId="22" fillId="6" borderId="1" xfId="0" applyFont="1" applyFill="1" applyBorder="1" applyAlignment="1">
      <alignment horizontal="center" vertical="top" wrapText="1"/>
    </xf>
    <xf numFmtId="167" fontId="22" fillId="6" borderId="1" xfId="0" applyNumberFormat="1" applyFont="1" applyFill="1" applyBorder="1" applyAlignment="1">
      <alignment horizontal="center" vertical="top" wrapText="1"/>
    </xf>
    <xf numFmtId="168" fontId="22" fillId="6" borderId="1" xfId="0" applyNumberFormat="1" applyFont="1" applyFill="1" applyBorder="1" applyAlignment="1">
      <alignment horizontal="center" vertical="top" wrapText="1"/>
    </xf>
    <xf numFmtId="0" fontId="17" fillId="0" borderId="1" xfId="0" applyFont="1" applyBorder="1" applyAlignment="1">
      <alignment horizontal="center"/>
    </xf>
    <xf numFmtId="0" fontId="17" fillId="0" borderId="1" xfId="0" applyFont="1" applyBorder="1"/>
    <xf numFmtId="171" fontId="17" fillId="0" borderId="1" xfId="0" applyNumberFormat="1" applyFont="1" applyBorder="1"/>
    <xf numFmtId="171" fontId="17" fillId="0" borderId="1" xfId="0" applyNumberFormat="1" applyFont="1" applyBorder="1" applyAlignment="1">
      <alignment vertical="top"/>
    </xf>
    <xf numFmtId="0" fontId="17" fillId="0" borderId="8" xfId="0" applyFont="1" applyBorder="1" applyAlignment="1">
      <alignment horizontal="center"/>
    </xf>
    <xf numFmtId="0" fontId="23" fillId="0" borderId="0" xfId="0" applyFont="1"/>
    <xf numFmtId="0" fontId="23" fillId="0" borderId="1" xfId="0" applyFont="1" applyBorder="1"/>
    <xf numFmtId="171" fontId="22" fillId="0" borderId="1" xfId="0" applyNumberFormat="1" applyFont="1" applyBorder="1"/>
    <xf numFmtId="0" fontId="12" fillId="0" borderId="0" xfId="0" applyFont="1"/>
    <xf numFmtId="0" fontId="13" fillId="6" borderId="12"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vertical="center" wrapText="1"/>
    </xf>
    <xf numFmtId="0" fontId="24" fillId="0" borderId="1" xfId="0" applyFont="1" applyBorder="1" applyAlignment="1">
      <alignment horizontal="left"/>
    </xf>
    <xf numFmtId="172" fontId="12" fillId="0" borderId="1" xfId="0" applyNumberFormat="1" applyFont="1" applyBorder="1" applyAlignment="1">
      <alignment horizontal="center"/>
    </xf>
    <xf numFmtId="172" fontId="12" fillId="10" borderId="1" xfId="0" applyNumberFormat="1" applyFont="1" applyFill="1" applyBorder="1" applyAlignment="1">
      <alignment horizontal="center"/>
    </xf>
    <xf numFmtId="173" fontId="12" fillId="0" borderId="1" xfId="0" applyNumberFormat="1" applyFont="1" applyBorder="1" applyAlignment="1">
      <alignment horizontal="center"/>
    </xf>
    <xf numFmtId="174" fontId="12" fillId="0" borderId="1" xfId="0" applyNumberFormat="1" applyFont="1" applyBorder="1" applyAlignment="1">
      <alignment horizontal="center"/>
    </xf>
    <xf numFmtId="0" fontId="12" fillId="0" borderId="1" xfId="0" applyFont="1" applyBorder="1"/>
    <xf numFmtId="0" fontId="20" fillId="0" borderId="1" xfId="0" applyFont="1" applyBorder="1"/>
    <xf numFmtId="4" fontId="20" fillId="0" borderId="1" xfId="0" applyNumberFormat="1" applyFont="1" applyBorder="1"/>
    <xf numFmtId="4" fontId="23" fillId="0" borderId="1" xfId="0" applyNumberFormat="1" applyFont="1" applyBorder="1"/>
    <xf numFmtId="4" fontId="20" fillId="0" borderId="0" xfId="0" applyNumberFormat="1" applyFont="1"/>
    <xf numFmtId="0" fontId="20" fillId="10" borderId="1" xfId="0" applyFont="1" applyFill="1" applyBorder="1"/>
    <xf numFmtId="4" fontId="20" fillId="12" borderId="1" xfId="0" applyNumberFormat="1" applyFont="1" applyFill="1" applyBorder="1"/>
    <xf numFmtId="0" fontId="5" fillId="0" borderId="0" xfId="0" applyFont="1" applyAlignment="1">
      <alignment horizontal="left"/>
    </xf>
    <xf numFmtId="0" fontId="26" fillId="0" borderId="0" xfId="0" applyFont="1" applyAlignment="1">
      <alignment horizontal="left"/>
    </xf>
    <xf numFmtId="4" fontId="5" fillId="0" borderId="0" xfId="0" applyNumberFormat="1" applyFont="1" applyAlignment="1">
      <alignment horizontal="center"/>
    </xf>
    <xf numFmtId="4" fontId="25" fillId="0" borderId="0" xfId="0" applyNumberFormat="1" applyFont="1" applyAlignment="1">
      <alignment horizontal="center"/>
    </xf>
    <xf numFmtId="175" fontId="12" fillId="0" borderId="0" xfId="0" applyNumberFormat="1" applyFont="1"/>
    <xf numFmtId="176" fontId="12" fillId="0" borderId="0" xfId="0" applyNumberFormat="1" applyFont="1" applyAlignment="1">
      <alignment horizontal="center" vertical="center"/>
    </xf>
    <xf numFmtId="0" fontId="5" fillId="0" borderId="14" xfId="0" applyFont="1" applyBorder="1" applyAlignment="1">
      <alignment wrapText="1"/>
    </xf>
    <xf numFmtId="10" fontId="12" fillId="0" borderId="1" xfId="0" applyNumberFormat="1" applyFont="1" applyBorder="1"/>
    <xf numFmtId="10" fontId="12" fillId="0" borderId="2" xfId="0" applyNumberFormat="1" applyFont="1" applyBorder="1"/>
    <xf numFmtId="10" fontId="12" fillId="0" borderId="6" xfId="0" applyNumberFormat="1" applyFont="1" applyBorder="1"/>
    <xf numFmtId="10" fontId="12" fillId="0" borderId="0" xfId="0" applyNumberFormat="1" applyFont="1"/>
    <xf numFmtId="0" fontId="24" fillId="0" borderId="1" xfId="0" applyFont="1" applyBorder="1" applyAlignment="1">
      <alignment horizontal="left" wrapText="1"/>
    </xf>
    <xf numFmtId="9" fontId="24" fillId="0" borderId="1" xfId="0" applyNumberFormat="1" applyFont="1" applyBorder="1" applyAlignment="1">
      <alignment horizontal="center" vertical="center" wrapText="1"/>
    </xf>
    <xf numFmtId="0" fontId="24" fillId="0" borderId="0" xfId="0" applyFont="1" applyAlignment="1">
      <alignment horizontal="left" wrapText="1"/>
    </xf>
    <xf numFmtId="9" fontId="24" fillId="0" borderId="0" xfId="0" applyNumberFormat="1" applyFont="1" applyAlignment="1">
      <alignment horizontal="center" vertical="center" wrapText="1"/>
    </xf>
    <xf numFmtId="0" fontId="13" fillId="6" borderId="1" xfId="0" applyFont="1" applyFill="1" applyBorder="1" applyAlignment="1">
      <alignment horizontal="center" vertical="center"/>
    </xf>
    <xf numFmtId="177" fontId="12" fillId="0" borderId="1" xfId="0" applyNumberFormat="1" applyFont="1" applyBorder="1" applyAlignment="1">
      <alignment horizontal="right" vertical="center"/>
    </xf>
    <xf numFmtId="174" fontId="12" fillId="0" borderId="1" xfId="0" applyNumberFormat="1" applyFont="1" applyBorder="1" applyAlignment="1">
      <alignment horizontal="center" vertical="center"/>
    </xf>
    <xf numFmtId="178" fontId="12" fillId="0" borderId="0" xfId="0" applyNumberFormat="1" applyFont="1"/>
    <xf numFmtId="0" fontId="13" fillId="0" borderId="0" xfId="0" applyFont="1" applyAlignment="1">
      <alignment horizontal="center" vertical="center" wrapText="1"/>
    </xf>
    <xf numFmtId="0" fontId="24" fillId="0" borderId="0" xfId="0" applyFont="1" applyAlignment="1">
      <alignment horizontal="left"/>
    </xf>
    <xf numFmtId="172" fontId="12" fillId="0" borderId="0" xfId="0" applyNumberFormat="1" applyFont="1" applyAlignment="1">
      <alignment horizontal="center"/>
    </xf>
    <xf numFmtId="174" fontId="12" fillId="0" borderId="0" xfId="0" applyNumberFormat="1" applyFont="1" applyAlignment="1">
      <alignment horizontal="center"/>
    </xf>
    <xf numFmtId="4" fontId="12" fillId="0" borderId="0" xfId="0" applyNumberFormat="1" applyFont="1"/>
    <xf numFmtId="0" fontId="13" fillId="15" borderId="1" xfId="0" applyFont="1" applyFill="1" applyBorder="1" applyAlignment="1">
      <alignment horizontal="center" vertical="top"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3" fillId="15" borderId="1" xfId="0" applyFont="1" applyFill="1" applyBorder="1" applyAlignment="1">
      <alignment horizontal="center" vertical="center"/>
    </xf>
    <xf numFmtId="177" fontId="13" fillId="15" borderId="1" xfId="0" applyNumberFormat="1" applyFont="1" applyFill="1" applyBorder="1" applyAlignment="1">
      <alignment horizontal="right" vertical="center"/>
    </xf>
    <xf numFmtId="0" fontId="12" fillId="0" borderId="14" xfId="0" applyFont="1" applyBorder="1" applyAlignment="1">
      <alignment wrapText="1"/>
    </xf>
    <xf numFmtId="0" fontId="12"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175" fontId="13" fillId="0" borderId="1" xfId="0" applyNumberFormat="1" applyFont="1" applyBorder="1" applyAlignment="1">
      <alignment horizontal="center" vertical="center" wrapText="1"/>
    </xf>
    <xf numFmtId="176" fontId="13" fillId="0" borderId="1" xfId="0" applyNumberFormat="1" applyFont="1" applyBorder="1" applyAlignment="1">
      <alignment horizontal="center" vertical="center" wrapText="1"/>
    </xf>
    <xf numFmtId="0" fontId="12" fillId="3" borderId="1" xfId="0" applyFont="1" applyFill="1" applyBorder="1" applyAlignment="1">
      <alignment horizontal="left" vertical="top" wrapText="1"/>
    </xf>
    <xf numFmtId="175" fontId="12" fillId="0" borderId="1" xfId="0" applyNumberFormat="1" applyFont="1" applyBorder="1"/>
    <xf numFmtId="9" fontId="12" fillId="0" borderId="1" xfId="0" applyNumberFormat="1" applyFont="1" applyBorder="1" applyAlignment="1">
      <alignment horizontal="center" vertical="center"/>
    </xf>
    <xf numFmtId="1" fontId="12" fillId="0" borderId="1" xfId="0" applyNumberFormat="1" applyFont="1" applyBorder="1" applyAlignment="1">
      <alignment horizontal="center" vertical="center"/>
    </xf>
    <xf numFmtId="175" fontId="13" fillId="0" borderId="1" xfId="0" applyNumberFormat="1" applyFont="1" applyBorder="1"/>
    <xf numFmtId="175" fontId="27" fillId="0" borderId="1" xfId="0" applyNumberFormat="1" applyFont="1" applyBorder="1"/>
    <xf numFmtId="1" fontId="12" fillId="0" borderId="1" xfId="0" applyNumberFormat="1" applyFont="1" applyBorder="1"/>
    <xf numFmtId="175" fontId="12" fillId="0" borderId="1" xfId="0" applyNumberFormat="1" applyFont="1" applyBorder="1" applyAlignment="1">
      <alignment wrapText="1"/>
    </xf>
    <xf numFmtId="176" fontId="12" fillId="0" borderId="1" xfId="0" applyNumberFormat="1" applyFont="1" applyBorder="1" applyAlignment="1">
      <alignment horizontal="center" vertical="center" wrapText="1"/>
    </xf>
    <xf numFmtId="175" fontId="13" fillId="0" borderId="1" xfId="0" applyNumberFormat="1" applyFont="1" applyBorder="1" applyAlignment="1">
      <alignment wrapText="1"/>
    </xf>
    <xf numFmtId="179" fontId="12" fillId="0" borderId="1" xfId="0" applyNumberFormat="1" applyFont="1" applyBorder="1" applyAlignment="1">
      <alignment horizontal="center" vertical="center"/>
    </xf>
    <xf numFmtId="0" fontId="12" fillId="0" borderId="1" xfId="0" applyFont="1" applyBorder="1" applyAlignment="1">
      <alignment wrapText="1"/>
    </xf>
    <xf numFmtId="175" fontId="12" fillId="0" borderId="1" xfId="0" quotePrefix="1" applyNumberFormat="1" applyFont="1" applyBorder="1" applyAlignment="1">
      <alignment horizontal="right"/>
    </xf>
    <xf numFmtId="1" fontId="12" fillId="3" borderId="1" xfId="0" applyNumberFormat="1" applyFont="1" applyFill="1" applyBorder="1" applyAlignment="1">
      <alignment horizontal="center" vertical="center"/>
    </xf>
    <xf numFmtId="0" fontId="13" fillId="6" borderId="1" xfId="0" applyFont="1" applyFill="1" applyBorder="1" applyAlignment="1">
      <alignment horizontal="left" vertical="center" wrapText="1"/>
    </xf>
    <xf numFmtId="175" fontId="13" fillId="6" borderId="1" xfId="0" applyNumberFormat="1" applyFont="1" applyFill="1" applyBorder="1"/>
    <xf numFmtId="175" fontId="27" fillId="6" borderId="1" xfId="0" applyNumberFormat="1" applyFont="1" applyFill="1" applyBorder="1"/>
    <xf numFmtId="0" fontId="13" fillId="0" borderId="0" xfId="0" applyFont="1"/>
    <xf numFmtId="1" fontId="12" fillId="0" borderId="2" xfId="0" applyNumberFormat="1" applyFont="1" applyBorder="1" applyAlignment="1">
      <alignment horizontal="right" vertical="top" wrapText="1"/>
    </xf>
    <xf numFmtId="0" fontId="12" fillId="0" borderId="0" xfId="0" applyFont="1" applyAlignment="1">
      <alignment wrapText="1"/>
    </xf>
    <xf numFmtId="179" fontId="12" fillId="0" borderId="1" xfId="0" applyNumberFormat="1" applyFont="1" applyBorder="1"/>
    <xf numFmtId="179" fontId="12" fillId="0" borderId="1" xfId="0" applyNumberFormat="1" applyFont="1" applyBorder="1" applyAlignment="1">
      <alignment wrapText="1"/>
    </xf>
    <xf numFmtId="9" fontId="12" fillId="0" borderId="1" xfId="0" applyNumberFormat="1" applyFont="1" applyBorder="1"/>
    <xf numFmtId="0" fontId="13" fillId="6" borderId="1" xfId="0" applyFont="1" applyFill="1" applyBorder="1"/>
    <xf numFmtId="0" fontId="12" fillId="6" borderId="1" xfId="0" applyFont="1" applyFill="1" applyBorder="1"/>
    <xf numFmtId="175" fontId="12" fillId="6" borderId="1" xfId="0" applyNumberFormat="1" applyFont="1" applyFill="1" applyBorder="1"/>
    <xf numFmtId="0" fontId="24" fillId="0" borderId="2" xfId="0" applyFont="1" applyBorder="1"/>
    <xf numFmtId="0" fontId="24" fillId="0" borderId="10" xfId="0" applyFont="1" applyBorder="1"/>
    <xf numFmtId="175" fontId="13" fillId="0" borderId="0" xfId="0" applyNumberFormat="1" applyFont="1"/>
    <xf numFmtId="179" fontId="12" fillId="10" borderId="1" xfId="0" applyNumberFormat="1" applyFont="1" applyFill="1" applyBorder="1" applyAlignment="1">
      <alignment horizontal="center" vertical="center"/>
    </xf>
    <xf numFmtId="1" fontId="12" fillId="10" borderId="1" xfId="0" applyNumberFormat="1" applyFont="1" applyFill="1" applyBorder="1" applyAlignment="1">
      <alignment horizontal="center" vertical="center"/>
    </xf>
    <xf numFmtId="175" fontId="12" fillId="10" borderId="1" xfId="0" applyNumberFormat="1" applyFont="1" applyFill="1" applyBorder="1"/>
    <xf numFmtId="0" fontId="28" fillId="0" borderId="1" xfId="0" applyFont="1" applyBorder="1"/>
    <xf numFmtId="0" fontId="12" fillId="10" borderId="1" xfId="0" applyFont="1" applyFill="1" applyBorder="1"/>
    <xf numFmtId="4" fontId="12" fillId="10" borderId="1" xfId="0" applyNumberFormat="1" applyFont="1" applyFill="1" applyBorder="1"/>
    <xf numFmtId="0" fontId="28" fillId="6" borderId="1" xfId="0" applyFont="1" applyFill="1" applyBorder="1"/>
    <xf numFmtId="4" fontId="12" fillId="6" borderId="1" xfId="0" applyNumberFormat="1" applyFont="1" applyFill="1" applyBorder="1"/>
    <xf numFmtId="176" fontId="12" fillId="0" borderId="1" xfId="0" applyNumberFormat="1" applyFont="1" applyBorder="1" applyAlignment="1">
      <alignment horizontal="center" vertical="center"/>
    </xf>
    <xf numFmtId="9" fontId="12" fillId="10" borderId="1" xfId="0" applyNumberFormat="1" applyFont="1" applyFill="1" applyBorder="1" applyAlignment="1">
      <alignment horizontal="center" vertical="center"/>
    </xf>
    <xf numFmtId="0" fontId="12" fillId="0" borderId="1" xfId="0" applyFont="1" applyBorder="1" applyAlignment="1">
      <alignment vertical="center"/>
    </xf>
    <xf numFmtId="0" fontId="13" fillId="0" borderId="0" xfId="0" applyFont="1" applyAlignment="1">
      <alignment horizontal="center" vertical="center"/>
    </xf>
    <xf numFmtId="0" fontId="12" fillId="0" borderId="9" xfId="0" applyFont="1" applyBorder="1" applyAlignment="1">
      <alignment horizontal="right" wrapText="1"/>
    </xf>
    <xf numFmtId="177" fontId="12" fillId="0" borderId="10" xfId="0" applyNumberFormat="1" applyFont="1" applyBorder="1"/>
    <xf numFmtId="0" fontId="12" fillId="0" borderId="11" xfId="0" applyFont="1" applyBorder="1" applyAlignment="1">
      <alignment wrapText="1"/>
    </xf>
    <xf numFmtId="177" fontId="12" fillId="0" borderId="0" xfId="0" applyNumberFormat="1" applyFont="1"/>
    <xf numFmtId="0" fontId="27" fillId="0" borderId="0" xfId="0" applyFont="1"/>
    <xf numFmtId="180" fontId="12" fillId="0" borderId="1" xfId="0" applyNumberFormat="1" applyFont="1" applyBorder="1"/>
    <xf numFmtId="176" fontId="12" fillId="0" borderId="0" xfId="0" applyNumberFormat="1" applyFont="1"/>
    <xf numFmtId="181" fontId="12" fillId="0" borderId="1" xfId="0" applyNumberFormat="1" applyFont="1" applyBorder="1"/>
    <xf numFmtId="4" fontId="13" fillId="6" borderId="1" xfId="0" applyNumberFormat="1" applyFont="1" applyFill="1" applyBorder="1"/>
    <xf numFmtId="0" fontId="29" fillId="0" borderId="0" xfId="0" applyFont="1"/>
    <xf numFmtId="175" fontId="29" fillId="0" borderId="0" xfId="0" applyNumberFormat="1" applyFont="1"/>
    <xf numFmtId="4" fontId="13" fillId="0" borderId="0" xfId="0" applyNumberFormat="1" applyFont="1"/>
    <xf numFmtId="1" fontId="12" fillId="0" borderId="1" xfId="0" applyNumberFormat="1" applyFont="1" applyBorder="1" applyAlignment="1">
      <alignment horizontal="right" vertical="top" wrapText="1"/>
    </xf>
    <xf numFmtId="175" fontId="20" fillId="0" borderId="0" xfId="0" applyNumberFormat="1" applyFont="1"/>
    <xf numFmtId="0" fontId="13" fillId="0" borderId="9" xfId="0" applyFont="1" applyBorder="1"/>
    <xf numFmtId="0" fontId="13" fillId="0" borderId="18" xfId="0" applyFont="1" applyBorder="1"/>
    <xf numFmtId="0" fontId="13" fillId="0" borderId="10" xfId="0" applyFont="1" applyBorder="1"/>
    <xf numFmtId="3" fontId="12" fillId="0" borderId="1" xfId="0" applyNumberFormat="1" applyFont="1" applyBorder="1" applyAlignment="1">
      <alignment horizontal="center" vertical="center"/>
    </xf>
    <xf numFmtId="177" fontId="13" fillId="0" borderId="1" xfId="0" applyNumberFormat="1" applyFont="1" applyBorder="1"/>
    <xf numFmtId="177" fontId="12" fillId="0" borderId="10" xfId="0" applyNumberFormat="1" applyFont="1" applyBorder="1" applyAlignment="1">
      <alignment wrapText="1"/>
    </xf>
    <xf numFmtId="182" fontId="12" fillId="0" borderId="0" xfId="0" applyNumberFormat="1" applyFont="1"/>
    <xf numFmtId="1" fontId="12" fillId="0" borderId="0" xfId="0" applyNumberFormat="1" applyFont="1" applyAlignment="1">
      <alignment horizontal="right" vertical="top" wrapText="1"/>
    </xf>
    <xf numFmtId="172" fontId="12" fillId="0" borderId="1" xfId="0" applyNumberFormat="1" applyFont="1" applyBorder="1"/>
    <xf numFmtId="0" fontId="29" fillId="0" borderId="1" xfId="0" applyFont="1" applyBorder="1"/>
    <xf numFmtId="0" fontId="29" fillId="0" borderId="1" xfId="0" applyFont="1" applyBorder="1" applyAlignment="1">
      <alignment wrapText="1"/>
    </xf>
    <xf numFmtId="1" fontId="12" fillId="12" borderId="1" xfId="0" applyNumberFormat="1" applyFont="1" applyFill="1" applyBorder="1" applyAlignment="1">
      <alignment horizontal="right" vertical="top" wrapText="1"/>
    </xf>
    <xf numFmtId="0" fontId="27" fillId="6" borderId="1" xfId="0" applyFont="1" applyFill="1" applyBorder="1" applyAlignment="1">
      <alignment horizontal="center" vertical="center" wrapText="1"/>
    </xf>
    <xf numFmtId="175" fontId="29" fillId="0" borderId="1" xfId="0" applyNumberFormat="1" applyFont="1" applyBorder="1"/>
    <xf numFmtId="1" fontId="12" fillId="0" borderId="2" xfId="0" applyNumberFormat="1" applyFont="1" applyBorder="1"/>
    <xf numFmtId="0" fontId="30" fillId="0" borderId="0" xfId="0" applyFont="1"/>
    <xf numFmtId="0" fontId="12" fillId="2" borderId="1" xfId="0" applyFont="1" applyFill="1" applyBorder="1" applyAlignment="1">
      <alignment vertical="top" wrapText="1"/>
    </xf>
    <xf numFmtId="0" fontId="29" fillId="16" borderId="1" xfId="0" applyFont="1" applyFill="1" applyBorder="1"/>
    <xf numFmtId="4" fontId="29" fillId="16" borderId="1" xfId="0" applyNumberFormat="1" applyFont="1" applyFill="1" applyBorder="1"/>
    <xf numFmtId="4" fontId="29" fillId="0" borderId="1" xfId="0" applyNumberFormat="1" applyFont="1" applyBorder="1"/>
    <xf numFmtId="9" fontId="29" fillId="0" borderId="1" xfId="0" applyNumberFormat="1" applyFont="1" applyBorder="1"/>
    <xf numFmtId="0" fontId="27" fillId="0" borderId="1" xfId="0" applyFont="1" applyBorder="1"/>
    <xf numFmtId="4" fontId="27" fillId="0" borderId="1" xfId="0" applyNumberFormat="1" applyFont="1" applyBorder="1"/>
    <xf numFmtId="4" fontId="12" fillId="0" borderId="1" xfId="0" applyNumberFormat="1" applyFont="1" applyBorder="1"/>
    <xf numFmtId="3" fontId="12" fillId="0" borderId="0" xfId="0" applyNumberFormat="1" applyFont="1"/>
    <xf numFmtId="3" fontId="12" fillId="10" borderId="1" xfId="0" applyNumberFormat="1" applyFont="1" applyFill="1" applyBorder="1" applyAlignment="1">
      <alignment horizontal="center" vertical="center"/>
    </xf>
    <xf numFmtId="0" fontId="13" fillId="6" borderId="1" xfId="0" applyFont="1" applyFill="1" applyBorder="1" applyAlignment="1">
      <alignment horizontal="left" vertical="center"/>
    </xf>
    <xf numFmtId="0" fontId="12" fillId="0" borderId="1" xfId="0" applyFont="1" applyBorder="1" applyAlignment="1">
      <alignment horizontal="left" vertical="top"/>
    </xf>
    <xf numFmtId="175" fontId="12" fillId="0" borderId="1" xfId="0" applyNumberFormat="1" applyFont="1" applyBorder="1" applyAlignment="1">
      <alignment horizontal="left" vertical="top"/>
    </xf>
    <xf numFmtId="0" fontId="13" fillId="0" borderId="1" xfId="0" applyFont="1" applyBorder="1" applyAlignment="1">
      <alignment horizontal="left" vertical="top"/>
    </xf>
    <xf numFmtId="175" fontId="13" fillId="0" borderId="1" xfId="0" applyNumberFormat="1" applyFont="1" applyBorder="1" applyAlignment="1">
      <alignment horizontal="left" vertical="top"/>
    </xf>
    <xf numFmtId="0" fontId="12" fillId="0" borderId="0" xfId="0" applyFont="1" applyAlignment="1">
      <alignment horizontal="left" vertical="top"/>
    </xf>
    <xf numFmtId="0" fontId="13" fillId="0" borderId="0" xfId="0" applyFont="1" applyAlignment="1">
      <alignment horizontal="center" vertical="top"/>
    </xf>
    <xf numFmtId="168" fontId="13" fillId="6" borderId="1" xfId="0" applyNumberFormat="1" applyFont="1" applyFill="1" applyBorder="1" applyAlignment="1">
      <alignment horizontal="center" vertical="center" wrapText="1"/>
    </xf>
    <xf numFmtId="0" fontId="12" fillId="0" borderId="1" xfId="0" applyFont="1" applyBorder="1" applyAlignment="1">
      <alignment horizontal="center"/>
    </xf>
    <xf numFmtId="171" fontId="12" fillId="0" borderId="1" xfId="0" applyNumberFormat="1" applyFont="1" applyBorder="1" applyAlignment="1">
      <alignment vertical="top"/>
    </xf>
    <xf numFmtId="0" fontId="13" fillId="0" borderId="1" xfId="0" applyFont="1" applyBorder="1" applyAlignment="1">
      <alignment vertical="top"/>
    </xf>
    <xf numFmtId="168" fontId="13" fillId="0" borderId="1" xfId="0" applyNumberFormat="1" applyFont="1" applyBorder="1" applyAlignment="1">
      <alignment vertical="top"/>
    </xf>
    <xf numFmtId="168" fontId="13" fillId="6" borderId="1" xfId="0" applyNumberFormat="1" applyFont="1" applyFill="1" applyBorder="1" applyAlignment="1">
      <alignment horizontal="left" vertical="top"/>
    </xf>
    <xf numFmtId="0" fontId="13" fillId="0" borderId="0" xfId="0" applyFont="1" applyAlignment="1">
      <alignment vertical="center"/>
    </xf>
    <xf numFmtId="0" fontId="13" fillId="17" borderId="1" xfId="0" applyFont="1" applyFill="1" applyBorder="1" applyAlignment="1">
      <alignment horizontal="left" vertical="top"/>
    </xf>
    <xf numFmtId="0" fontId="13" fillId="17" borderId="1" xfId="0" applyFont="1" applyFill="1" applyBorder="1" applyAlignment="1">
      <alignment horizontal="left" wrapText="1"/>
    </xf>
    <xf numFmtId="0" fontId="13" fillId="0" borderId="0" xfId="0" applyFont="1" applyAlignment="1">
      <alignment horizontal="left" vertical="top"/>
    </xf>
    <xf numFmtId="0" fontId="13" fillId="6" borderId="1" xfId="0" applyFont="1" applyFill="1" applyBorder="1" applyAlignment="1">
      <alignment horizontal="left" vertical="top"/>
    </xf>
    <xf numFmtId="168" fontId="13" fillId="6" borderId="1" xfId="0" applyNumberFormat="1" applyFont="1" applyFill="1" applyBorder="1" applyAlignment="1">
      <alignment vertical="top"/>
    </xf>
    <xf numFmtId="168" fontId="12" fillId="0" borderId="0" xfId="0" applyNumberFormat="1" applyFont="1" applyAlignment="1">
      <alignment horizontal="left" vertical="top"/>
    </xf>
    <xf numFmtId="4" fontId="12" fillId="0" borderId="1" xfId="0" applyNumberFormat="1" applyFont="1" applyBorder="1" applyAlignment="1">
      <alignment horizontal="center" vertical="center"/>
    </xf>
    <xf numFmtId="0" fontId="12" fillId="0" borderId="1" xfId="0" applyFont="1" applyBorder="1" applyAlignment="1">
      <alignment horizontal="left" vertical="top" wrapText="1"/>
    </xf>
    <xf numFmtId="0" fontId="5" fillId="0" borderId="14" xfId="0" applyFont="1" applyBorder="1" applyAlignment="1">
      <alignment vertical="center" wrapText="1"/>
    </xf>
    <xf numFmtId="0" fontId="12" fillId="0" borderId="0" xfId="0" applyFont="1" applyAlignment="1">
      <alignment horizontal="center" vertical="center"/>
    </xf>
    <xf numFmtId="4" fontId="12" fillId="0" borderId="0" xfId="0" applyNumberFormat="1" applyFont="1" applyAlignment="1">
      <alignment horizontal="center" vertical="center"/>
    </xf>
    <xf numFmtId="0" fontId="20" fillId="0" borderId="0" xfId="0" applyFont="1" applyAlignment="1">
      <alignment horizontal="center" vertical="center"/>
    </xf>
    <xf numFmtId="175" fontId="12" fillId="0" borderId="0" xfId="0" applyNumberFormat="1" applyFont="1" applyAlignment="1">
      <alignment horizontal="center" vertical="center"/>
    </xf>
    <xf numFmtId="177" fontId="13" fillId="6" borderId="1" xfId="0" applyNumberFormat="1" applyFont="1" applyFill="1" applyBorder="1" applyAlignment="1">
      <alignment horizontal="right" vertical="center"/>
    </xf>
    <xf numFmtId="0" fontId="13" fillId="6" borderId="1" xfId="0" applyFont="1" applyFill="1" applyBorder="1" applyAlignment="1">
      <alignment horizontal="center" vertical="top" wrapText="1"/>
    </xf>
    <xf numFmtId="177" fontId="12" fillId="0" borderId="1" xfId="0" applyNumberFormat="1" applyFont="1" applyBorder="1"/>
    <xf numFmtId="0" fontId="12" fillId="6" borderId="1" xfId="0" applyFont="1" applyFill="1" applyBorder="1" applyAlignment="1">
      <alignment wrapText="1"/>
    </xf>
    <xf numFmtId="0" fontId="13" fillId="6" borderId="1" xfId="0" applyFont="1" applyFill="1" applyBorder="1" applyAlignment="1">
      <alignment wrapText="1"/>
    </xf>
    <xf numFmtId="177" fontId="13" fillId="6" borderId="1" xfId="0" applyNumberFormat="1" applyFont="1" applyFill="1" applyBorder="1"/>
    <xf numFmtId="183" fontId="12" fillId="0" borderId="1" xfId="0" applyNumberFormat="1" applyFont="1" applyBorder="1"/>
    <xf numFmtId="0" fontId="13" fillId="6" borderId="1" xfId="0" applyFont="1" applyFill="1" applyBorder="1" applyAlignment="1">
      <alignment vertical="top"/>
    </xf>
    <xf numFmtId="177" fontId="13" fillId="6" borderId="1" xfId="0" applyNumberFormat="1" applyFont="1" applyFill="1" applyBorder="1" applyAlignment="1">
      <alignment vertical="top"/>
    </xf>
    <xf numFmtId="177" fontId="12" fillId="0" borderId="10" xfId="0" applyNumberFormat="1" applyFont="1" applyBorder="1" applyAlignment="1">
      <alignment horizontal="right" wrapText="1"/>
    </xf>
    <xf numFmtId="184" fontId="12" fillId="0" borderId="0" xfId="0" applyNumberFormat="1" applyFont="1"/>
    <xf numFmtId="0" fontId="12" fillId="0" borderId="11" xfId="0" applyFont="1" applyBorder="1" applyAlignment="1">
      <alignment horizontal="right" wrapText="1"/>
    </xf>
    <xf numFmtId="175" fontId="12" fillId="12" borderId="1" xfId="0" applyNumberFormat="1" applyFont="1" applyFill="1" applyBorder="1"/>
    <xf numFmtId="0" fontId="32" fillId="0" borderId="0" xfId="0" applyFont="1"/>
    <xf numFmtId="0" fontId="12" fillId="10" borderId="1" xfId="0" applyFont="1" applyFill="1" applyBorder="1" applyAlignment="1">
      <alignment horizontal="left" vertical="top"/>
    </xf>
    <xf numFmtId="0" fontId="29" fillId="6" borderId="1" xfId="0" applyFont="1" applyFill="1" applyBorder="1"/>
    <xf numFmtId="177" fontId="29" fillId="6" borderId="1" xfId="0" applyNumberFormat="1" applyFont="1" applyFill="1" applyBorder="1"/>
    <xf numFmtId="0" fontId="13" fillId="12" borderId="1" xfId="0" applyFont="1" applyFill="1" applyBorder="1" applyAlignment="1">
      <alignment horizontal="center" vertical="center" wrapText="1"/>
    </xf>
    <xf numFmtId="175" fontId="13" fillId="12" borderId="1" xfId="0" applyNumberFormat="1" applyFont="1" applyFill="1" applyBorder="1" applyAlignment="1">
      <alignment horizontal="center" vertical="center" wrapText="1"/>
    </xf>
    <xf numFmtId="176" fontId="13" fillId="12" borderId="1" xfId="0" applyNumberFormat="1" applyFont="1" applyFill="1" applyBorder="1" applyAlignment="1">
      <alignment horizontal="center" vertical="center" wrapText="1"/>
    </xf>
    <xf numFmtId="175" fontId="12" fillId="12" borderId="1" xfId="0" applyNumberFormat="1" applyFont="1" applyFill="1" applyBorder="1" applyAlignment="1">
      <alignment wrapText="1"/>
    </xf>
    <xf numFmtId="176" fontId="12" fillId="12" borderId="1" xfId="0" applyNumberFormat="1" applyFont="1" applyFill="1" applyBorder="1" applyAlignment="1">
      <alignment horizontal="center" vertical="center"/>
    </xf>
    <xf numFmtId="175" fontId="13" fillId="12" borderId="1" xfId="0" applyNumberFormat="1" applyFont="1" applyFill="1" applyBorder="1"/>
    <xf numFmtId="177" fontId="12" fillId="0" borderId="1" xfId="0" applyNumberFormat="1" applyFont="1" applyBorder="1" applyAlignment="1">
      <alignment horizontal="right"/>
    </xf>
    <xf numFmtId="177" fontId="13" fillId="6" borderId="1" xfId="0" applyNumberFormat="1" applyFont="1" applyFill="1" applyBorder="1" applyAlignment="1">
      <alignment horizontal="right" vertical="top"/>
    </xf>
    <xf numFmtId="0" fontId="13" fillId="0" borderId="1" xfId="0" applyFont="1" applyBorder="1" applyAlignment="1">
      <alignment vertical="center"/>
    </xf>
    <xf numFmtId="175" fontId="13" fillId="0" borderId="1" xfId="0" applyNumberFormat="1" applyFont="1" applyBorder="1" applyAlignment="1">
      <alignment vertical="center" wrapText="1"/>
    </xf>
    <xf numFmtId="176" fontId="13" fillId="0" borderId="1" xfId="0" applyNumberFormat="1" applyFont="1" applyBorder="1" applyAlignment="1">
      <alignment vertical="center" wrapText="1"/>
    </xf>
    <xf numFmtId="1" fontId="12" fillId="3" borderId="1" xfId="0" applyNumberFormat="1" applyFont="1" applyFill="1" applyBorder="1"/>
    <xf numFmtId="0" fontId="12" fillId="0" borderId="1" xfId="0" applyFont="1" applyBorder="1" applyAlignment="1">
      <alignment horizontal="right"/>
    </xf>
    <xf numFmtId="0" fontId="28" fillId="10" borderId="1" xfId="0" applyFont="1" applyFill="1" applyBorder="1"/>
    <xf numFmtId="0" fontId="29" fillId="0" borderId="1" xfId="0" applyFont="1" applyBorder="1" applyAlignment="1">
      <alignment horizontal="center" vertical="center"/>
    </xf>
    <xf numFmtId="177" fontId="27" fillId="6" borderId="1" xfId="0" applyNumberFormat="1" applyFont="1" applyFill="1" applyBorder="1"/>
    <xf numFmtId="0" fontId="13" fillId="14" borderId="1" xfId="0" applyFont="1" applyFill="1" applyBorder="1" applyAlignment="1">
      <alignment horizontal="center" vertical="center" wrapText="1"/>
    </xf>
    <xf numFmtId="175" fontId="13" fillId="14" borderId="1" xfId="0" applyNumberFormat="1" applyFont="1" applyFill="1" applyBorder="1"/>
    <xf numFmtId="175" fontId="13" fillId="6" borderId="1" xfId="0" applyNumberFormat="1" applyFont="1" applyFill="1" applyBorder="1" applyAlignment="1">
      <alignment horizontal="center" vertical="center" wrapText="1"/>
    </xf>
    <xf numFmtId="0" fontId="29" fillId="0" borderId="1" xfId="0" applyFont="1" applyBorder="1" applyAlignment="1">
      <alignment horizontal="left" vertical="top"/>
    </xf>
    <xf numFmtId="4" fontId="29" fillId="0" borderId="1" xfId="0" applyNumberFormat="1" applyFont="1" applyBorder="1" applyAlignment="1">
      <alignment horizontal="center" vertical="center"/>
    </xf>
    <xf numFmtId="3" fontId="29" fillId="0" borderId="1" xfId="0" applyNumberFormat="1" applyFont="1" applyBorder="1" applyAlignment="1">
      <alignment horizontal="center" vertical="center"/>
    </xf>
    <xf numFmtId="0" fontId="13" fillId="15" borderId="1" xfId="0" applyFont="1" applyFill="1" applyBorder="1" applyAlignment="1">
      <alignment vertical="top" wrapText="1"/>
    </xf>
    <xf numFmtId="0" fontId="20" fillId="0" borderId="2" xfId="0" applyFont="1" applyBorder="1"/>
    <xf numFmtId="10" fontId="5" fillId="0" borderId="2" xfId="0" applyNumberFormat="1" applyFont="1" applyBorder="1"/>
    <xf numFmtId="10" fontId="5" fillId="0" borderId="6" xfId="0" applyNumberFormat="1" applyFont="1" applyBorder="1"/>
    <xf numFmtId="0" fontId="13" fillId="6" borderId="20" xfId="0" applyFont="1" applyFill="1" applyBorder="1" applyAlignment="1">
      <alignment horizontal="center" vertical="center"/>
    </xf>
    <xf numFmtId="0" fontId="13" fillId="6" borderId="5" xfId="0" applyFont="1" applyFill="1" applyBorder="1" applyAlignment="1">
      <alignment horizontal="center" vertical="center"/>
    </xf>
    <xf numFmtId="0" fontId="13" fillId="0" borderId="1" xfId="0" applyFont="1" applyBorder="1" applyAlignment="1">
      <alignment wrapText="1"/>
    </xf>
    <xf numFmtId="0" fontId="13" fillId="0" borderId="1" xfId="0" applyFont="1" applyBorder="1"/>
    <xf numFmtId="0" fontId="12" fillId="18" borderId="1" xfId="0" applyFont="1" applyFill="1" applyBorder="1"/>
    <xf numFmtId="0" fontId="29" fillId="18" borderId="1" xfId="0" applyFont="1" applyFill="1" applyBorder="1"/>
    <xf numFmtId="1" fontId="12" fillId="3" borderId="1" xfId="0" applyNumberFormat="1" applyFont="1" applyFill="1" applyBorder="1" applyAlignment="1">
      <alignment vertical="center" wrapText="1"/>
    </xf>
    <xf numFmtId="4" fontId="13" fillId="15" borderId="1" xfId="0" applyNumberFormat="1" applyFont="1" applyFill="1" applyBorder="1"/>
    <xf numFmtId="175" fontId="13" fillId="15" borderId="1" xfId="0" applyNumberFormat="1" applyFont="1" applyFill="1" applyBorder="1"/>
    <xf numFmtId="1" fontId="17" fillId="6" borderId="1" xfId="0" applyNumberFormat="1" applyFont="1" applyFill="1" applyBorder="1" applyAlignment="1">
      <alignment horizontal="left" vertical="top" wrapText="1"/>
    </xf>
    <xf numFmtId="1" fontId="17" fillId="3" borderId="1" xfId="0" applyNumberFormat="1" applyFont="1" applyFill="1" applyBorder="1" applyAlignment="1">
      <alignment vertical="center" wrapText="1"/>
    </xf>
    <xf numFmtId="1" fontId="17" fillId="3" borderId="1" xfId="0" applyNumberFormat="1" applyFont="1" applyFill="1" applyBorder="1" applyAlignment="1">
      <alignment horizontal="center" vertical="center" wrapText="1"/>
    </xf>
    <xf numFmtId="185" fontId="17" fillId="6" borderId="1" xfId="0" applyNumberFormat="1" applyFont="1" applyFill="1" applyBorder="1" applyAlignment="1">
      <alignment horizontal="right" vertical="center" wrapText="1"/>
    </xf>
    <xf numFmtId="185" fontId="17" fillId="15" borderId="1" xfId="0" applyNumberFormat="1" applyFont="1" applyFill="1" applyBorder="1" applyAlignment="1">
      <alignment horizontal="right" vertical="center"/>
    </xf>
    <xf numFmtId="0" fontId="7" fillId="0" borderId="14" xfId="0" applyFont="1" applyBorder="1" applyAlignment="1">
      <alignment wrapText="1"/>
    </xf>
    <xf numFmtId="0" fontId="27" fillId="6" borderId="1" xfId="0" applyFont="1" applyFill="1" applyBorder="1" applyAlignment="1">
      <alignment horizontal="center" vertical="center"/>
    </xf>
    <xf numFmtId="0" fontId="27" fillId="6" borderId="1" xfId="0" applyFont="1" applyFill="1" applyBorder="1"/>
    <xf numFmtId="0" fontId="33" fillId="2" borderId="21" xfId="0" applyFont="1" applyFill="1" applyBorder="1" applyAlignment="1">
      <alignment horizontal="left" vertical="top"/>
    </xf>
    <xf numFmtId="1" fontId="22" fillId="19" borderId="1" xfId="0" applyNumberFormat="1" applyFont="1" applyFill="1" applyBorder="1" applyAlignment="1">
      <alignment horizontal="center" vertical="center" wrapText="1"/>
    </xf>
    <xf numFmtId="1" fontId="22" fillId="20" borderId="1" xfId="0" applyNumberFormat="1" applyFont="1" applyFill="1" applyBorder="1" applyAlignment="1">
      <alignment horizontal="center" vertical="center" wrapText="1"/>
    </xf>
    <xf numFmtId="1" fontId="22" fillId="20" borderId="5" xfId="0" applyNumberFormat="1" applyFont="1" applyFill="1" applyBorder="1" applyAlignment="1">
      <alignment horizontal="center" vertical="center" wrapText="1"/>
    </xf>
    <xf numFmtId="1" fontId="22" fillId="20" borderId="5" xfId="0" applyNumberFormat="1" applyFont="1" applyFill="1" applyBorder="1" applyAlignment="1">
      <alignment horizontal="left" vertical="center" wrapText="1"/>
    </xf>
    <xf numFmtId="1" fontId="22" fillId="20" borderId="5" xfId="0" applyNumberFormat="1" applyFont="1" applyFill="1" applyBorder="1" applyAlignment="1">
      <alignment vertical="center" wrapText="1"/>
    </xf>
    <xf numFmtId="1" fontId="22" fillId="20" borderId="1" xfId="0" applyNumberFormat="1" applyFont="1" applyFill="1" applyBorder="1" applyAlignment="1">
      <alignment horizontal="center" vertical="center"/>
    </xf>
    <xf numFmtId="186" fontId="22" fillId="20" borderId="5" xfId="0" applyNumberFormat="1" applyFont="1" applyFill="1" applyBorder="1" applyAlignment="1">
      <alignment horizontal="center" vertical="center" wrapText="1"/>
    </xf>
    <xf numFmtId="186" fontId="22" fillId="20" borderId="1" xfId="0" applyNumberFormat="1" applyFont="1" applyFill="1" applyBorder="1" applyAlignment="1">
      <alignment horizontal="center" vertical="center" wrapText="1"/>
    </xf>
    <xf numFmtId="186" fontId="34" fillId="3" borderId="5" xfId="0" applyNumberFormat="1" applyFont="1" applyFill="1" applyBorder="1" applyAlignment="1">
      <alignment horizontal="center" vertical="center" wrapText="1"/>
    </xf>
    <xf numFmtId="1" fontId="22" fillId="0" borderId="1" xfId="0" applyNumberFormat="1" applyFont="1" applyBorder="1" applyAlignment="1">
      <alignment horizontal="center" vertical="center" wrapText="1"/>
    </xf>
    <xf numFmtId="0" fontId="35" fillId="2" borderId="21" xfId="0" applyFont="1" applyFill="1" applyBorder="1" applyAlignment="1">
      <alignment horizontal="left" vertical="top"/>
    </xf>
    <xf numFmtId="1" fontId="17" fillId="6" borderId="22" xfId="0" applyNumberFormat="1" applyFont="1" applyFill="1" applyBorder="1" applyAlignment="1">
      <alignment horizontal="center" vertical="center"/>
    </xf>
    <xf numFmtId="1" fontId="17" fillId="3" borderId="1" xfId="0" applyNumberFormat="1" applyFont="1" applyFill="1" applyBorder="1" applyAlignment="1">
      <alignment horizontal="left" vertical="top"/>
    </xf>
    <xf numFmtId="1" fontId="17" fillId="0" borderId="1" xfId="0" applyNumberFormat="1" applyFont="1" applyBorder="1" applyAlignment="1">
      <alignment horizontal="left" vertical="top"/>
    </xf>
    <xf numFmtId="1" fontId="17" fillId="6" borderId="1" xfId="0" applyNumberFormat="1" applyFont="1" applyFill="1" applyBorder="1" applyAlignment="1">
      <alignment horizontal="left" vertical="top"/>
    </xf>
    <xf numFmtId="1" fontId="17" fillId="0" borderId="1" xfId="0" applyNumberFormat="1" applyFont="1" applyBorder="1" applyAlignment="1">
      <alignment vertical="center"/>
    </xf>
    <xf numFmtId="1" fontId="17" fillId="3" borderId="1" xfId="0" applyNumberFormat="1" applyFont="1" applyFill="1" applyBorder="1" applyAlignment="1">
      <alignment horizontal="left" vertical="center"/>
    </xf>
    <xf numFmtId="1" fontId="17" fillId="3" borderId="1" xfId="0" applyNumberFormat="1" applyFont="1" applyFill="1" applyBorder="1" applyAlignment="1">
      <alignment vertical="center"/>
    </xf>
    <xf numFmtId="1" fontId="36" fillId="13" borderId="1" xfId="0" applyNumberFormat="1" applyFont="1" applyFill="1" applyBorder="1" applyAlignment="1">
      <alignment vertical="center"/>
    </xf>
    <xf numFmtId="1" fontId="17" fillId="3" borderId="1" xfId="0" applyNumberFormat="1" applyFont="1" applyFill="1" applyBorder="1" applyAlignment="1">
      <alignment horizontal="center" vertical="center"/>
    </xf>
    <xf numFmtId="1" fontId="17" fillId="21" borderId="1" xfId="0" applyNumberFormat="1" applyFont="1" applyFill="1" applyBorder="1" applyAlignment="1">
      <alignment horizontal="center" vertical="center"/>
    </xf>
    <xf numFmtId="186" fontId="17" fillId="6" borderId="1" xfId="0" applyNumberFormat="1" applyFont="1" applyFill="1" applyBorder="1" applyAlignment="1">
      <alignment horizontal="right" vertical="center"/>
    </xf>
    <xf numFmtId="186" fontId="17" fillId="13" borderId="1" xfId="0" applyNumberFormat="1" applyFont="1" applyFill="1" applyBorder="1" applyAlignment="1">
      <alignment horizontal="right" vertical="center"/>
    </xf>
    <xf numFmtId="9" fontId="17" fillId="15" borderId="1" xfId="0" applyNumberFormat="1" applyFont="1" applyFill="1" applyBorder="1" applyAlignment="1">
      <alignment horizontal="right" vertical="center"/>
    </xf>
    <xf numFmtId="186" fontId="17" fillId="21" borderId="1" xfId="0" applyNumberFormat="1" applyFont="1" applyFill="1" applyBorder="1" applyAlignment="1">
      <alignment horizontal="right" vertical="center"/>
    </xf>
    <xf numFmtId="186" fontId="17" fillId="3" borderId="1" xfId="0" applyNumberFormat="1" applyFont="1" applyFill="1" applyBorder="1" applyAlignment="1">
      <alignment horizontal="right" vertical="center"/>
    </xf>
    <xf numFmtId="1" fontId="36" fillId="3" borderId="1" xfId="0" applyNumberFormat="1" applyFont="1" applyFill="1" applyBorder="1" applyAlignment="1">
      <alignment horizontal="left" vertical="top"/>
    </xf>
    <xf numFmtId="1" fontId="17" fillId="0" borderId="1" xfId="0" applyNumberFormat="1" applyFont="1" applyBorder="1"/>
    <xf numFmtId="0" fontId="37" fillId="0" borderId="0" xfId="0" applyFont="1"/>
    <xf numFmtId="1" fontId="17" fillId="6" borderId="1" xfId="0" applyNumberFormat="1" applyFont="1" applyFill="1" applyBorder="1" applyAlignment="1">
      <alignment horizontal="center" vertical="center"/>
    </xf>
    <xf numFmtId="0" fontId="35" fillId="2" borderId="23" xfId="0" applyFont="1" applyFill="1" applyBorder="1" applyAlignment="1">
      <alignment horizontal="left" vertical="top"/>
    </xf>
    <xf numFmtId="1" fontId="17" fillId="6" borderId="4" xfId="0" applyNumberFormat="1" applyFont="1" applyFill="1" applyBorder="1" applyAlignment="1">
      <alignment horizontal="center" vertical="center"/>
    </xf>
    <xf numFmtId="1" fontId="17" fillId="3" borderId="4" xfId="0" applyNumberFormat="1" applyFont="1" applyFill="1" applyBorder="1" applyAlignment="1">
      <alignment horizontal="left" vertical="top"/>
    </xf>
    <xf numFmtId="1" fontId="17" fillId="0" borderId="4" xfId="0" applyNumberFormat="1" applyFont="1" applyBorder="1" applyAlignment="1">
      <alignment horizontal="left" vertical="top"/>
    </xf>
    <xf numFmtId="1" fontId="17" fillId="6" borderId="4" xfId="0" applyNumberFormat="1" applyFont="1" applyFill="1" applyBorder="1" applyAlignment="1">
      <alignment horizontal="left" vertical="top"/>
    </xf>
    <xf numFmtId="1" fontId="17" fillId="0" borderId="4" xfId="0" applyNumberFormat="1" applyFont="1" applyBorder="1" applyAlignment="1">
      <alignment vertical="center"/>
    </xf>
    <xf numFmtId="1" fontId="17" fillId="3" borderId="4" xfId="0" applyNumberFormat="1" applyFont="1" applyFill="1" applyBorder="1" applyAlignment="1">
      <alignment horizontal="left" vertical="center"/>
    </xf>
    <xf numFmtId="1" fontId="17" fillId="3" borderId="4" xfId="0" applyNumberFormat="1" applyFont="1" applyFill="1" applyBorder="1" applyAlignment="1">
      <alignment vertical="center"/>
    </xf>
    <xf numFmtId="1" fontId="36" fillId="13" borderId="4" xfId="0" applyNumberFormat="1" applyFont="1" applyFill="1" applyBorder="1" applyAlignment="1">
      <alignment vertical="center"/>
    </xf>
    <xf numFmtId="1" fontId="17" fillId="3" borderId="4" xfId="0" applyNumberFormat="1" applyFont="1" applyFill="1" applyBorder="1" applyAlignment="1">
      <alignment horizontal="center" vertical="center"/>
    </xf>
    <xf numFmtId="1" fontId="17" fillId="21" borderId="4" xfId="0" applyNumberFormat="1" applyFont="1" applyFill="1" applyBorder="1" applyAlignment="1">
      <alignment horizontal="center" vertical="center"/>
    </xf>
    <xf numFmtId="186" fontId="17" fillId="6" borderId="4" xfId="0" applyNumberFormat="1" applyFont="1" applyFill="1" applyBorder="1" applyAlignment="1">
      <alignment horizontal="right" vertical="center"/>
    </xf>
    <xf numFmtId="186" fontId="17" fillId="13" borderId="4" xfId="0" applyNumberFormat="1" applyFont="1" applyFill="1" applyBorder="1" applyAlignment="1">
      <alignment horizontal="right" vertical="center"/>
    </xf>
    <xf numFmtId="9" fontId="17" fillId="15" borderId="4" xfId="0" applyNumberFormat="1" applyFont="1" applyFill="1" applyBorder="1" applyAlignment="1">
      <alignment horizontal="right" vertical="center"/>
    </xf>
    <xf numFmtId="186" fontId="17" fillId="21" borderId="4" xfId="0" applyNumberFormat="1" applyFont="1" applyFill="1" applyBorder="1" applyAlignment="1">
      <alignment horizontal="right" vertical="center"/>
    </xf>
    <xf numFmtId="186" fontId="17" fillId="3" borderId="4" xfId="0" applyNumberFormat="1" applyFont="1" applyFill="1" applyBorder="1" applyAlignment="1">
      <alignment horizontal="right" vertical="center"/>
    </xf>
    <xf numFmtId="1" fontId="36" fillId="3" borderId="4" xfId="0" applyNumberFormat="1" applyFont="1" applyFill="1" applyBorder="1" applyAlignment="1">
      <alignment horizontal="left" vertical="top"/>
    </xf>
    <xf numFmtId="1" fontId="17" fillId="0" borderId="4" xfId="0" applyNumberFormat="1" applyFont="1" applyBorder="1"/>
    <xf numFmtId="0" fontId="35" fillId="2" borderId="24" xfId="0" applyFont="1" applyFill="1" applyBorder="1" applyAlignment="1">
      <alignment horizontal="left" vertical="top"/>
    </xf>
    <xf numFmtId="1" fontId="17" fillId="6" borderId="5" xfId="0" applyNumberFormat="1" applyFont="1" applyFill="1" applyBorder="1" applyAlignment="1">
      <alignment horizontal="center" vertical="center"/>
    </xf>
    <xf numFmtId="1" fontId="17" fillId="3" borderId="5" xfId="0" applyNumberFormat="1" applyFont="1" applyFill="1" applyBorder="1" applyAlignment="1">
      <alignment horizontal="left" vertical="top"/>
    </xf>
    <xf numFmtId="1" fontId="17" fillId="6" borderId="5" xfId="0" applyNumberFormat="1" applyFont="1" applyFill="1" applyBorder="1" applyAlignment="1">
      <alignment horizontal="left" vertical="top"/>
    </xf>
    <xf numFmtId="1" fontId="17" fillId="3" borderId="5" xfId="0" applyNumberFormat="1" applyFont="1" applyFill="1" applyBorder="1" applyAlignment="1">
      <alignment horizontal="left" vertical="center"/>
    </xf>
    <xf numFmtId="1" fontId="17" fillId="3" borderId="5" xfId="0" applyNumberFormat="1" applyFont="1" applyFill="1" applyBorder="1" applyAlignment="1">
      <alignment vertical="center"/>
    </xf>
    <xf numFmtId="1" fontId="36" fillId="13" borderId="5" xfId="0" applyNumberFormat="1" applyFont="1" applyFill="1" applyBorder="1" applyAlignment="1">
      <alignment vertical="center"/>
    </xf>
    <xf numFmtId="1" fontId="17" fillId="3" borderId="5" xfId="0" applyNumberFormat="1" applyFont="1" applyFill="1" applyBorder="1" applyAlignment="1">
      <alignment horizontal="center" vertical="center"/>
    </xf>
    <xf numFmtId="1" fontId="17" fillId="21" borderId="5" xfId="0" applyNumberFormat="1" applyFont="1" applyFill="1" applyBorder="1" applyAlignment="1">
      <alignment horizontal="center" vertical="center"/>
    </xf>
    <xf numFmtId="186" fontId="17" fillId="6" borderId="5" xfId="0" applyNumberFormat="1" applyFont="1" applyFill="1" applyBorder="1" applyAlignment="1">
      <alignment horizontal="right" vertical="center"/>
    </xf>
    <xf numFmtId="186" fontId="17" fillId="13" borderId="5" xfId="0" applyNumberFormat="1" applyFont="1" applyFill="1" applyBorder="1" applyAlignment="1">
      <alignment horizontal="right" vertical="center"/>
    </xf>
    <xf numFmtId="9" fontId="17" fillId="15" borderId="5" xfId="0" applyNumberFormat="1" applyFont="1" applyFill="1" applyBorder="1" applyAlignment="1">
      <alignment horizontal="right" vertical="center"/>
    </xf>
    <xf numFmtId="186" fontId="17" fillId="21" borderId="5" xfId="0" applyNumberFormat="1" applyFont="1" applyFill="1" applyBorder="1" applyAlignment="1">
      <alignment horizontal="right" vertical="center"/>
    </xf>
    <xf numFmtId="186" fontId="17" fillId="3" borderId="5" xfId="0" applyNumberFormat="1" applyFont="1" applyFill="1" applyBorder="1" applyAlignment="1">
      <alignment horizontal="right" vertical="center"/>
    </xf>
    <xf numFmtId="1" fontId="36" fillId="3" borderId="5" xfId="0" applyNumberFormat="1" applyFont="1" applyFill="1" applyBorder="1" applyAlignment="1">
      <alignment horizontal="left" vertical="top"/>
    </xf>
    <xf numFmtId="1" fontId="17" fillId="3" borderId="25" xfId="0" applyNumberFormat="1" applyFont="1" applyFill="1" applyBorder="1" applyAlignment="1">
      <alignment vertical="center"/>
    </xf>
    <xf numFmtId="1" fontId="17" fillId="6" borderId="26" xfId="0" applyNumberFormat="1" applyFont="1" applyFill="1" applyBorder="1" applyAlignment="1">
      <alignment horizontal="center" vertical="center"/>
    </xf>
    <xf numFmtId="1" fontId="17" fillId="9" borderId="5" xfId="0" applyNumberFormat="1" applyFont="1" applyFill="1" applyBorder="1" applyAlignment="1">
      <alignment vertical="center"/>
    </xf>
    <xf numFmtId="1" fontId="17" fillId="7" borderId="5" xfId="0" applyNumberFormat="1" applyFont="1" applyFill="1" applyBorder="1" applyAlignment="1">
      <alignment vertical="center" wrapText="1"/>
    </xf>
    <xf numFmtId="1" fontId="21" fillId="0" borderId="1" xfId="0" applyNumberFormat="1" applyFont="1" applyBorder="1" applyAlignment="1">
      <alignment vertical="center"/>
    </xf>
    <xf numFmtId="1" fontId="17" fillId="9" borderId="1" xfId="0" applyNumberFormat="1" applyFont="1" applyFill="1" applyBorder="1" applyAlignment="1">
      <alignment vertical="center"/>
    </xf>
    <xf numFmtId="1" fontId="21" fillId="0" borderId="4" xfId="0" applyNumberFormat="1" applyFont="1" applyBorder="1" applyAlignment="1">
      <alignment vertical="center"/>
    </xf>
    <xf numFmtId="1" fontId="17" fillId="9" borderId="4" xfId="0" applyNumberFormat="1" applyFont="1" applyFill="1" applyBorder="1" applyAlignment="1">
      <alignment vertical="center"/>
    </xf>
    <xf numFmtId="0" fontId="38" fillId="2" borderId="21" xfId="0" applyFont="1" applyFill="1" applyBorder="1" applyAlignment="1">
      <alignment horizontal="left" vertical="top"/>
    </xf>
    <xf numFmtId="1" fontId="17" fillId="6" borderId="22" xfId="0" applyNumberFormat="1" applyFont="1" applyFill="1" applyBorder="1" applyAlignment="1">
      <alignment horizontal="center" vertical="center" wrapText="1"/>
    </xf>
    <xf numFmtId="1" fontId="17" fillId="3" borderId="1" xfId="0" applyNumberFormat="1" applyFont="1" applyFill="1" applyBorder="1" applyAlignment="1">
      <alignment horizontal="left" vertical="top" wrapText="1"/>
    </xf>
    <xf numFmtId="1" fontId="17" fillId="0" borderId="1" xfId="0" applyNumberFormat="1" applyFont="1" applyBorder="1" applyAlignment="1">
      <alignment horizontal="left" vertical="top" wrapText="1"/>
    </xf>
    <xf numFmtId="1" fontId="17" fillId="7" borderId="1" xfId="0" applyNumberFormat="1" applyFont="1" applyFill="1" applyBorder="1" applyAlignment="1">
      <alignment vertical="center"/>
    </xf>
    <xf numFmtId="1" fontId="17" fillId="13" borderId="1" xfId="0" applyNumberFormat="1" applyFont="1" applyFill="1" applyBorder="1" applyAlignment="1">
      <alignment vertical="center"/>
    </xf>
    <xf numFmtId="1" fontId="17" fillId="6" borderId="1" xfId="0" applyNumberFormat="1" applyFont="1" applyFill="1" applyBorder="1" applyAlignment="1">
      <alignment horizontal="center" vertical="center" wrapText="1"/>
    </xf>
    <xf numFmtId="0" fontId="38" fillId="2" borderId="23" xfId="0" applyFont="1" applyFill="1" applyBorder="1" applyAlignment="1">
      <alignment horizontal="left" vertical="top"/>
    </xf>
    <xf numFmtId="1" fontId="17" fillId="6" borderId="4" xfId="0" applyNumberFormat="1" applyFont="1" applyFill="1" applyBorder="1" applyAlignment="1">
      <alignment horizontal="center" vertical="center" wrapText="1"/>
    </xf>
    <xf numFmtId="1" fontId="17" fillId="3" borderId="4" xfId="0" applyNumberFormat="1" applyFont="1" applyFill="1" applyBorder="1" applyAlignment="1">
      <alignment horizontal="left" vertical="top" wrapText="1"/>
    </xf>
    <xf numFmtId="1" fontId="17" fillId="0" borderId="4" xfId="0" applyNumberFormat="1" applyFont="1" applyBorder="1" applyAlignment="1">
      <alignment horizontal="left" vertical="top" wrapText="1"/>
    </xf>
    <xf numFmtId="1" fontId="17" fillId="6" borderId="4" xfId="0" applyNumberFormat="1" applyFont="1" applyFill="1" applyBorder="1" applyAlignment="1">
      <alignment horizontal="left" vertical="top" wrapText="1"/>
    </xf>
    <xf numFmtId="1" fontId="17" fillId="7" borderId="4" xfId="0" applyNumberFormat="1" applyFont="1" applyFill="1" applyBorder="1" applyAlignment="1">
      <alignment vertical="center"/>
    </xf>
    <xf numFmtId="1" fontId="17" fillId="13" borderId="4" xfId="0" applyNumberFormat="1" applyFont="1" applyFill="1" applyBorder="1" applyAlignment="1">
      <alignment vertical="center"/>
    </xf>
    <xf numFmtId="1" fontId="17" fillId="0" borderId="1" xfId="0" applyNumberFormat="1" applyFont="1" applyBorder="1" applyAlignment="1">
      <alignment vertical="center" wrapText="1"/>
    </xf>
    <xf numFmtId="1" fontId="17" fillId="6" borderId="5" xfId="0" applyNumberFormat="1" applyFont="1" applyFill="1" applyBorder="1" applyAlignment="1">
      <alignment horizontal="center" vertical="center" wrapText="1"/>
    </xf>
    <xf numFmtId="1" fontId="17" fillId="3" borderId="5" xfId="0" applyNumberFormat="1" applyFont="1" applyFill="1" applyBorder="1" applyAlignment="1">
      <alignment horizontal="left" vertical="top" wrapText="1"/>
    </xf>
    <xf numFmtId="1" fontId="17" fillId="6" borderId="5" xfId="0" applyNumberFormat="1" applyFont="1" applyFill="1" applyBorder="1" applyAlignment="1">
      <alignment horizontal="left" vertical="top" wrapText="1"/>
    </xf>
    <xf numFmtId="1" fontId="17" fillId="7" borderId="5" xfId="0" applyNumberFormat="1" applyFont="1" applyFill="1" applyBorder="1" applyAlignment="1">
      <alignment vertical="center"/>
    </xf>
    <xf numFmtId="0" fontId="39" fillId="2" borderId="24" xfId="0" applyFont="1" applyFill="1" applyBorder="1" applyAlignment="1">
      <alignment horizontal="left" vertical="top"/>
    </xf>
    <xf numFmtId="1" fontId="21" fillId="6" borderId="27" xfId="0" applyNumberFormat="1" applyFont="1" applyFill="1" applyBorder="1" applyAlignment="1">
      <alignment horizontal="center" vertical="center"/>
    </xf>
    <xf numFmtId="1" fontId="21" fillId="3" borderId="5" xfId="0" applyNumberFormat="1" applyFont="1" applyFill="1" applyBorder="1" applyAlignment="1">
      <alignment horizontal="left" vertical="top"/>
    </xf>
    <xf numFmtId="1" fontId="21" fillId="6" borderId="5" xfId="0" applyNumberFormat="1" applyFont="1" applyFill="1" applyBorder="1" applyAlignment="1">
      <alignment horizontal="left" vertical="top"/>
    </xf>
    <xf numFmtId="1" fontId="21" fillId="3" borderId="5" xfId="0" applyNumberFormat="1" applyFont="1" applyFill="1" applyBorder="1" applyAlignment="1">
      <alignment horizontal="left" vertical="center"/>
    </xf>
    <xf numFmtId="1" fontId="21" fillId="3" borderId="5" xfId="0" applyNumberFormat="1" applyFont="1" applyFill="1" applyBorder="1" applyAlignment="1">
      <alignment vertical="center"/>
    </xf>
    <xf numFmtId="1" fontId="21" fillId="13" borderId="5" xfId="0" applyNumberFormat="1" applyFont="1" applyFill="1" applyBorder="1" applyAlignment="1">
      <alignment vertical="center"/>
    </xf>
    <xf numFmtId="1" fontId="21" fillId="3" borderId="5" xfId="0" applyNumberFormat="1" applyFont="1" applyFill="1" applyBorder="1" applyAlignment="1">
      <alignment horizontal="center" vertical="center"/>
    </xf>
    <xf numFmtId="1" fontId="21" fillId="21" borderId="5" xfId="0" applyNumberFormat="1" applyFont="1" applyFill="1" applyBorder="1" applyAlignment="1">
      <alignment horizontal="center" vertical="center"/>
    </xf>
    <xf numFmtId="186" fontId="21" fillId="6" borderId="5" xfId="0" applyNumberFormat="1" applyFont="1" applyFill="1" applyBorder="1" applyAlignment="1">
      <alignment horizontal="right" vertical="center"/>
    </xf>
    <xf numFmtId="186" fontId="21" fillId="13" borderId="5" xfId="0" applyNumberFormat="1" applyFont="1" applyFill="1" applyBorder="1" applyAlignment="1">
      <alignment horizontal="right" vertical="center"/>
    </xf>
    <xf numFmtId="9" fontId="21" fillId="15" borderId="5" xfId="0" applyNumberFormat="1" applyFont="1" applyFill="1" applyBorder="1" applyAlignment="1">
      <alignment horizontal="right" vertical="center"/>
    </xf>
    <xf numFmtId="186" fontId="21" fillId="21" borderId="5" xfId="0" applyNumberFormat="1" applyFont="1" applyFill="1" applyBorder="1" applyAlignment="1">
      <alignment horizontal="right" vertical="center"/>
    </xf>
    <xf numFmtId="186" fontId="21" fillId="3" borderId="5" xfId="0" applyNumberFormat="1" applyFont="1" applyFill="1" applyBorder="1" applyAlignment="1">
      <alignment horizontal="right" vertical="center"/>
    </xf>
    <xf numFmtId="0" fontId="39" fillId="2" borderId="21" xfId="0" applyFont="1" applyFill="1" applyBorder="1" applyAlignment="1">
      <alignment horizontal="left" vertical="top"/>
    </xf>
    <xf numFmtId="1" fontId="21" fillId="6" borderId="1" xfId="0" applyNumberFormat="1" applyFont="1" applyFill="1" applyBorder="1" applyAlignment="1">
      <alignment horizontal="center" vertical="center"/>
    </xf>
    <xf numFmtId="1" fontId="21" fillId="3" borderId="1" xfId="0" applyNumberFormat="1" applyFont="1" applyFill="1" applyBorder="1" applyAlignment="1">
      <alignment horizontal="left" vertical="top"/>
    </xf>
    <xf numFmtId="1" fontId="21" fillId="0" borderId="1" xfId="0" applyNumberFormat="1" applyFont="1" applyBorder="1" applyAlignment="1">
      <alignment horizontal="left" vertical="top"/>
    </xf>
    <xf numFmtId="1" fontId="21" fillId="6" borderId="1" xfId="0" applyNumberFormat="1" applyFont="1" applyFill="1" applyBorder="1" applyAlignment="1">
      <alignment horizontal="left" vertical="top"/>
    </xf>
    <xf numFmtId="1" fontId="21" fillId="3" borderId="1" xfId="0" applyNumberFormat="1" applyFont="1" applyFill="1" applyBorder="1" applyAlignment="1">
      <alignment horizontal="left" vertical="center"/>
    </xf>
    <xf numFmtId="1" fontId="21" fillId="3" borderId="1" xfId="0" applyNumberFormat="1" applyFont="1" applyFill="1" applyBorder="1" applyAlignment="1">
      <alignment vertical="center"/>
    </xf>
    <xf numFmtId="1" fontId="21" fillId="13" borderId="1" xfId="0" applyNumberFormat="1" applyFont="1" applyFill="1" applyBorder="1" applyAlignment="1">
      <alignment vertical="center"/>
    </xf>
    <xf numFmtId="1" fontId="21" fillId="3" borderId="1" xfId="0" applyNumberFormat="1" applyFont="1" applyFill="1" applyBorder="1" applyAlignment="1">
      <alignment horizontal="center" vertical="center"/>
    </xf>
    <xf numFmtId="1" fontId="21" fillId="21" borderId="1" xfId="0" applyNumberFormat="1" applyFont="1" applyFill="1" applyBorder="1" applyAlignment="1">
      <alignment horizontal="center" vertical="center"/>
    </xf>
    <xf numFmtId="186" fontId="21" fillId="6" borderId="1" xfId="0" applyNumberFormat="1" applyFont="1" applyFill="1" applyBorder="1" applyAlignment="1">
      <alignment horizontal="right" vertical="center"/>
    </xf>
    <xf numFmtId="186" fontId="21" fillId="13" borderId="1" xfId="0" applyNumberFormat="1" applyFont="1" applyFill="1" applyBorder="1" applyAlignment="1">
      <alignment horizontal="right" vertical="center"/>
    </xf>
    <xf numFmtId="9" fontId="21" fillId="15" borderId="1" xfId="0" applyNumberFormat="1" applyFont="1" applyFill="1" applyBorder="1" applyAlignment="1">
      <alignment horizontal="right" vertical="center"/>
    </xf>
    <xf numFmtId="186" fontId="21" fillId="21" borderId="1" xfId="0" applyNumberFormat="1" applyFont="1" applyFill="1" applyBorder="1" applyAlignment="1">
      <alignment horizontal="right" vertical="center"/>
    </xf>
    <xf numFmtId="186" fontId="21" fillId="3" borderId="1" xfId="0" applyNumberFormat="1" applyFont="1" applyFill="1" applyBorder="1" applyAlignment="1">
      <alignment horizontal="right" vertical="center"/>
    </xf>
    <xf numFmtId="1" fontId="21" fillId="0" borderId="1" xfId="0" applyNumberFormat="1" applyFont="1" applyBorder="1"/>
    <xf numFmtId="0" fontId="35" fillId="2" borderId="28" xfId="0" applyFont="1" applyFill="1" applyBorder="1" applyAlignment="1">
      <alignment horizontal="left" vertical="top"/>
    </xf>
    <xf numFmtId="1" fontId="17" fillId="0" borderId="3" xfId="0" applyNumberFormat="1" applyFont="1" applyBorder="1" applyAlignment="1">
      <alignment horizontal="left" vertical="top" wrapText="1"/>
    </xf>
    <xf numFmtId="1" fontId="17" fillId="6" borderId="27" xfId="0" applyNumberFormat="1" applyFont="1" applyFill="1" applyBorder="1" applyAlignment="1">
      <alignment horizontal="center" vertical="center"/>
    </xf>
    <xf numFmtId="1" fontId="22" fillId="0" borderId="1" xfId="0" applyNumberFormat="1" applyFont="1" applyBorder="1"/>
    <xf numFmtId="1" fontId="21" fillId="6" borderId="5" xfId="0" applyNumberFormat="1" applyFont="1" applyFill="1" applyBorder="1" applyAlignment="1">
      <alignment horizontal="center" vertical="center"/>
    </xf>
    <xf numFmtId="1" fontId="21" fillId="6" borderId="22" xfId="0" applyNumberFormat="1" applyFont="1" applyFill="1" applyBorder="1" applyAlignment="1">
      <alignment horizontal="center" vertical="center"/>
    </xf>
    <xf numFmtId="0" fontId="39" fillId="2" borderId="23" xfId="0" applyFont="1" applyFill="1" applyBorder="1" applyAlignment="1">
      <alignment horizontal="left" vertical="top"/>
    </xf>
    <xf numFmtId="1" fontId="21" fillId="6" borderId="4" xfId="0" applyNumberFormat="1" applyFont="1" applyFill="1" applyBorder="1" applyAlignment="1">
      <alignment horizontal="center" vertical="center"/>
    </xf>
    <xf numFmtId="1" fontId="21" fillId="3" borderId="4" xfId="0" applyNumberFormat="1" applyFont="1" applyFill="1" applyBorder="1" applyAlignment="1">
      <alignment horizontal="left" vertical="top"/>
    </xf>
    <xf numFmtId="1" fontId="21" fillId="0" borderId="4" xfId="0" applyNumberFormat="1" applyFont="1" applyBorder="1" applyAlignment="1">
      <alignment horizontal="left" vertical="top"/>
    </xf>
    <xf numFmtId="1" fontId="21" fillId="6" borderId="4" xfId="0" applyNumberFormat="1" applyFont="1" applyFill="1" applyBorder="1" applyAlignment="1">
      <alignment horizontal="left" vertical="top"/>
    </xf>
    <xf numFmtId="1" fontId="21" fillId="3" borderId="4" xfId="0" applyNumberFormat="1" applyFont="1" applyFill="1" applyBorder="1" applyAlignment="1">
      <alignment horizontal="left" vertical="center"/>
    </xf>
    <xf numFmtId="1" fontId="21" fillId="3" borderId="4" xfId="0" applyNumberFormat="1" applyFont="1" applyFill="1" applyBorder="1" applyAlignment="1">
      <alignment vertical="center"/>
    </xf>
    <xf numFmtId="1" fontId="21" fillId="13" borderId="4" xfId="0" applyNumberFormat="1" applyFont="1" applyFill="1" applyBorder="1" applyAlignment="1">
      <alignment vertical="center"/>
    </xf>
    <xf numFmtId="1" fontId="21" fillId="3" borderId="4" xfId="0" applyNumberFormat="1" applyFont="1" applyFill="1" applyBorder="1" applyAlignment="1">
      <alignment horizontal="center" vertical="center"/>
    </xf>
    <xf numFmtId="1" fontId="21" fillId="21" borderId="4" xfId="0" applyNumberFormat="1" applyFont="1" applyFill="1" applyBorder="1" applyAlignment="1">
      <alignment horizontal="center" vertical="center"/>
    </xf>
    <xf numFmtId="186" fontId="21" fillId="6" borderId="4" xfId="0" applyNumberFormat="1" applyFont="1" applyFill="1" applyBorder="1" applyAlignment="1">
      <alignment horizontal="right" vertical="center"/>
    </xf>
    <xf numFmtId="186" fontId="21" fillId="13" borderId="4" xfId="0" applyNumberFormat="1" applyFont="1" applyFill="1" applyBorder="1" applyAlignment="1">
      <alignment horizontal="right" vertical="center"/>
    </xf>
    <xf numFmtId="9" fontId="21" fillId="15" borderId="4" xfId="0" applyNumberFormat="1" applyFont="1" applyFill="1" applyBorder="1" applyAlignment="1">
      <alignment horizontal="right" vertical="center"/>
    </xf>
    <xf numFmtId="186" fontId="21" fillId="21" borderId="4" xfId="0" applyNumberFormat="1" applyFont="1" applyFill="1" applyBorder="1" applyAlignment="1">
      <alignment horizontal="right" vertical="center"/>
    </xf>
    <xf numFmtId="186" fontId="21" fillId="3" borderId="4" xfId="0" applyNumberFormat="1" applyFont="1" applyFill="1" applyBorder="1" applyAlignment="1">
      <alignment horizontal="right" vertical="center"/>
    </xf>
    <xf numFmtId="1" fontId="17" fillId="9" borderId="1" xfId="0" applyNumberFormat="1" applyFont="1" applyFill="1" applyBorder="1"/>
    <xf numFmtId="0" fontId="22" fillId="12" borderId="1" xfId="0" applyFont="1" applyFill="1" applyBorder="1"/>
    <xf numFmtId="0" fontId="17" fillId="12" borderId="1" xfId="0" applyFont="1" applyFill="1" applyBorder="1"/>
    <xf numFmtId="4" fontId="17" fillId="12" borderId="1" xfId="0" applyNumberFormat="1" applyFont="1" applyFill="1" applyBorder="1"/>
    <xf numFmtId="0" fontId="22" fillId="0" borderId="1" xfId="0" applyFont="1" applyBorder="1"/>
    <xf numFmtId="0" fontId="22" fillId="0" borderId="1" xfId="0" applyFont="1" applyBorder="1" applyAlignment="1">
      <alignment wrapText="1"/>
    </xf>
    <xf numFmtId="4" fontId="22" fillId="0" borderId="1" xfId="0" applyNumberFormat="1" applyFont="1" applyBorder="1" applyAlignment="1">
      <alignment wrapText="1"/>
    </xf>
    <xf numFmtId="4" fontId="22" fillId="0" borderId="0" xfId="0" applyNumberFormat="1" applyFont="1" applyAlignment="1">
      <alignment wrapText="1"/>
    </xf>
    <xf numFmtId="187" fontId="17" fillId="0" borderId="0" xfId="0" applyNumberFormat="1" applyFont="1"/>
    <xf numFmtId="0" fontId="17" fillId="0" borderId="1" xfId="0" applyFont="1" applyBorder="1" applyAlignment="1">
      <alignment wrapText="1"/>
    </xf>
    <xf numFmtId="164" fontId="17" fillId="0" borderId="1" xfId="0" applyNumberFormat="1" applyFont="1" applyBorder="1" applyAlignment="1">
      <alignment wrapText="1"/>
    </xf>
    <xf numFmtId="164" fontId="17" fillId="0" borderId="0" xfId="0" applyNumberFormat="1" applyFont="1" applyAlignment="1">
      <alignment wrapText="1"/>
    </xf>
    <xf numFmtId="164" fontId="22" fillId="0" borderId="0" xfId="0" applyNumberFormat="1" applyFont="1" applyAlignment="1">
      <alignment wrapText="1"/>
    </xf>
    <xf numFmtId="3" fontId="17" fillId="0" borderId="0" xfId="0" applyNumberFormat="1" applyFont="1" applyAlignment="1">
      <alignment wrapText="1"/>
    </xf>
    <xf numFmtId="3" fontId="17" fillId="0" borderId="0" xfId="0" applyNumberFormat="1" applyFont="1"/>
    <xf numFmtId="164" fontId="22" fillId="0" borderId="1" xfId="0" applyNumberFormat="1" applyFont="1" applyBorder="1" applyAlignment="1">
      <alignment wrapText="1"/>
    </xf>
    <xf numFmtId="3" fontId="22" fillId="0" borderId="0" xfId="0" applyNumberFormat="1" applyFont="1" applyAlignment="1">
      <alignment wrapText="1"/>
    </xf>
    <xf numFmtId="3" fontId="22" fillId="0" borderId="0" xfId="0" applyNumberFormat="1" applyFont="1"/>
    <xf numFmtId="187" fontId="22" fillId="0" borderId="0" xfId="0" applyNumberFormat="1" applyFont="1"/>
    <xf numFmtId="4" fontId="17" fillId="0" borderId="0" xfId="0" applyNumberFormat="1" applyFont="1"/>
    <xf numFmtId="0" fontId="41" fillId="22" borderId="1" xfId="0" applyFont="1" applyFill="1" applyBorder="1"/>
    <xf numFmtId="0" fontId="41" fillId="22" borderId="1" xfId="0" applyFont="1" applyFill="1" applyBorder="1" applyAlignment="1">
      <alignment wrapText="1"/>
    </xf>
    <xf numFmtId="164" fontId="41" fillId="22" borderId="1" xfId="0" applyNumberFormat="1" applyFont="1" applyFill="1" applyBorder="1" applyAlignment="1">
      <alignment wrapText="1"/>
    </xf>
    <xf numFmtId="164" fontId="42" fillId="0" borderId="0" xfId="0" applyNumberFormat="1" applyFont="1" applyAlignment="1">
      <alignment wrapText="1"/>
    </xf>
    <xf numFmtId="0" fontId="36" fillId="0" borderId="0" xfId="0" applyFont="1"/>
    <xf numFmtId="0" fontId="43" fillId="14" borderId="1" xfId="0" applyFont="1" applyFill="1" applyBorder="1" applyAlignment="1">
      <alignment horizontal="center" vertical="center"/>
    </xf>
    <xf numFmtId="0" fontId="43" fillId="14" borderId="1" xfId="0" applyFont="1" applyFill="1" applyBorder="1" applyAlignment="1">
      <alignment horizontal="center" vertical="center" wrapText="1"/>
    </xf>
    <xf numFmtId="0" fontId="44" fillId="0" borderId="0" xfId="0" applyFont="1"/>
    <xf numFmtId="0" fontId="44" fillId="0" borderId="1" xfId="0" applyFont="1" applyBorder="1"/>
    <xf numFmtId="3" fontId="45" fillId="0" borderId="13" xfId="0" applyNumberFormat="1" applyFont="1" applyBorder="1" applyAlignment="1">
      <alignment horizontal="center" vertical="center"/>
    </xf>
    <xf numFmtId="175" fontId="45" fillId="10" borderId="1" xfId="0" applyNumberFormat="1" applyFont="1" applyFill="1" applyBorder="1"/>
    <xf numFmtId="175" fontId="45" fillId="0" borderId="1" xfId="0" applyNumberFormat="1" applyFont="1" applyBorder="1"/>
    <xf numFmtId="175" fontId="44" fillId="0" borderId="0" xfId="0" applyNumberFormat="1" applyFont="1"/>
    <xf numFmtId="3" fontId="44" fillId="0" borderId="1" xfId="0" applyNumberFormat="1" applyFont="1" applyBorder="1" applyAlignment="1">
      <alignment vertical="center"/>
    </xf>
    <xf numFmtId="9" fontId="44" fillId="0" borderId="13" xfId="0" applyNumberFormat="1" applyFont="1" applyBorder="1"/>
    <xf numFmtId="0" fontId="45" fillId="0" borderId="1" xfId="0" applyFont="1" applyBorder="1"/>
    <xf numFmtId="0" fontId="44" fillId="0" borderId="8" xfId="0" applyFont="1" applyBorder="1" applyAlignment="1">
      <alignment horizontal="center" vertical="center"/>
    </xf>
    <xf numFmtId="0" fontId="44" fillId="0" borderId="8" xfId="0" applyFont="1" applyBorder="1"/>
    <xf numFmtId="3" fontId="44" fillId="0" borderId="1" xfId="0" applyNumberFormat="1" applyFont="1" applyBorder="1"/>
    <xf numFmtId="3" fontId="44" fillId="0" borderId="0" xfId="0" applyNumberFormat="1" applyFont="1" applyAlignment="1">
      <alignment vertical="center"/>
    </xf>
    <xf numFmtId="183" fontId="44" fillId="2" borderId="1" xfId="0" applyNumberFormat="1" applyFont="1" applyFill="1" applyBorder="1" applyAlignment="1">
      <alignment horizontal="center" vertical="center"/>
    </xf>
    <xf numFmtId="183" fontId="44" fillId="0" borderId="8" xfId="0" applyNumberFormat="1" applyFont="1" applyBorder="1" applyAlignment="1">
      <alignment horizontal="center" vertical="center"/>
    </xf>
    <xf numFmtId="3" fontId="45" fillId="0" borderId="1" xfId="0" applyNumberFormat="1" applyFont="1" applyBorder="1" applyAlignment="1">
      <alignment horizontal="center"/>
    </xf>
    <xf numFmtId="183" fontId="44" fillId="0" borderId="1" xfId="0" applyNumberFormat="1" applyFont="1" applyBorder="1" applyAlignment="1">
      <alignment horizontal="center" vertical="center"/>
    </xf>
    <xf numFmtId="0" fontId="44" fillId="0" borderId="1" xfId="0" applyFont="1" applyBorder="1" applyAlignment="1">
      <alignment horizontal="center"/>
    </xf>
    <xf numFmtId="177" fontId="44" fillId="0" borderId="1" xfId="0" applyNumberFormat="1" applyFont="1" applyBorder="1"/>
    <xf numFmtId="3" fontId="44" fillId="0" borderId="0" xfId="0" applyNumberFormat="1" applyFont="1"/>
    <xf numFmtId="9" fontId="45" fillId="0" borderId="1" xfId="0" applyNumberFormat="1" applyFont="1" applyBorder="1" applyAlignment="1">
      <alignment horizontal="center"/>
    </xf>
    <xf numFmtId="0" fontId="43" fillId="15" borderId="1" xfId="0" applyFont="1" applyFill="1" applyBorder="1" applyAlignment="1">
      <alignment vertical="top"/>
    </xf>
    <xf numFmtId="177" fontId="43" fillId="15" borderId="1" xfId="0" applyNumberFormat="1" applyFont="1" applyFill="1" applyBorder="1" applyAlignment="1">
      <alignment vertical="top"/>
    </xf>
    <xf numFmtId="3" fontId="45" fillId="3" borderId="1" xfId="0" applyNumberFormat="1" applyFont="1" applyFill="1" applyBorder="1" applyAlignment="1">
      <alignment vertical="center"/>
    </xf>
    <xf numFmtId="0" fontId="22" fillId="0" borderId="2" xfId="0" applyFont="1" applyBorder="1"/>
    <xf numFmtId="0" fontId="22" fillId="0" borderId="2" xfId="0" applyFont="1" applyBorder="1" applyAlignment="1">
      <alignment wrapText="1"/>
    </xf>
    <xf numFmtId="0" fontId="47" fillId="0" borderId="1" xfId="0" applyFont="1" applyBorder="1" applyAlignment="1">
      <alignment vertical="center"/>
    </xf>
    <xf numFmtId="0" fontId="17" fillId="0" borderId="1" xfId="0" applyFont="1" applyBorder="1" applyAlignment="1">
      <alignment vertical="center" wrapText="1"/>
    </xf>
    <xf numFmtId="3" fontId="48" fillId="0" borderId="1" xfId="0" applyNumberFormat="1" applyFont="1" applyBorder="1"/>
    <xf numFmtId="4" fontId="17" fillId="0" borderId="1" xfId="0" applyNumberFormat="1" applyFont="1" applyBorder="1" applyAlignment="1">
      <alignment vertical="center" wrapText="1"/>
    </xf>
    <xf numFmtId="0" fontId="17" fillId="0" borderId="1" xfId="0" applyFont="1" applyBorder="1" applyAlignment="1">
      <alignment vertical="center"/>
    </xf>
    <xf numFmtId="9" fontId="17" fillId="0" borderId="1" xfId="0" applyNumberFormat="1" applyFont="1" applyBorder="1" applyAlignment="1">
      <alignment vertical="center" wrapText="1"/>
    </xf>
    <xf numFmtId="4" fontId="17" fillId="0" borderId="1" xfId="0" applyNumberFormat="1" applyFont="1" applyBorder="1" applyAlignment="1">
      <alignment wrapText="1"/>
    </xf>
    <xf numFmtId="0" fontId="17" fillId="0" borderId="4" xfId="0" applyFont="1" applyBorder="1" applyAlignment="1">
      <alignment vertical="center"/>
    </xf>
    <xf numFmtId="0" fontId="17" fillId="0" borderId="4" xfId="0" applyFont="1" applyBorder="1" applyAlignment="1">
      <alignment vertical="center" wrapText="1"/>
    </xf>
    <xf numFmtId="3" fontId="48" fillId="0" borderId="4" xfId="0" applyNumberFormat="1" applyFont="1" applyBorder="1"/>
    <xf numFmtId="9" fontId="17" fillId="0" borderId="4" xfId="0" applyNumberFormat="1" applyFont="1" applyBorder="1" applyAlignment="1">
      <alignment vertical="center" wrapText="1"/>
    </xf>
    <xf numFmtId="164" fontId="17" fillId="0" borderId="4" xfId="0" applyNumberFormat="1" applyFont="1" applyBorder="1" applyAlignment="1">
      <alignment wrapText="1"/>
    </xf>
    <xf numFmtId="4" fontId="17" fillId="0" borderId="4" xfId="0" applyNumberFormat="1" applyFont="1" applyBorder="1" applyAlignment="1">
      <alignment wrapText="1"/>
    </xf>
    <xf numFmtId="0" fontId="17" fillId="0" borderId="6" xfId="0" applyFont="1" applyBorder="1" applyAlignment="1">
      <alignment vertical="center"/>
    </xf>
    <xf numFmtId="0" fontId="17" fillId="0" borderId="6" xfId="0" applyFont="1" applyBorder="1" applyAlignment="1">
      <alignment vertical="center" wrapText="1"/>
    </xf>
    <xf numFmtId="3" fontId="48" fillId="0" borderId="6" xfId="0" applyNumberFormat="1" applyFont="1" applyBorder="1"/>
    <xf numFmtId="9" fontId="17" fillId="0" borderId="6" xfId="0" applyNumberFormat="1" applyFont="1" applyBorder="1" applyAlignment="1">
      <alignment vertical="center" wrapText="1"/>
    </xf>
    <xf numFmtId="164" fontId="22" fillId="0" borderId="6" xfId="0" applyNumberFormat="1" applyFont="1" applyBorder="1" applyAlignment="1">
      <alignment wrapText="1"/>
    </xf>
    <xf numFmtId="3" fontId="17" fillId="0" borderId="1" xfId="0" applyNumberFormat="1" applyFont="1" applyBorder="1"/>
    <xf numFmtId="188" fontId="17" fillId="0" borderId="1" xfId="0" applyNumberFormat="1" applyFont="1" applyBorder="1" applyAlignment="1">
      <alignment wrapText="1"/>
    </xf>
    <xf numFmtId="0" fontId="22" fillId="0" borderId="1" xfId="0" applyFont="1" applyBorder="1" applyAlignment="1">
      <alignment vertical="center"/>
    </xf>
    <xf numFmtId="0" fontId="36" fillId="0" borderId="1" xfId="0" applyFont="1" applyBorder="1"/>
    <xf numFmtId="189" fontId="40" fillId="0" borderId="0" xfId="0" applyNumberFormat="1" applyFont="1"/>
    <xf numFmtId="164" fontId="17" fillId="23" borderId="1" xfId="0" applyNumberFormat="1" applyFont="1" applyFill="1" applyBorder="1" applyAlignment="1">
      <alignment wrapText="1"/>
    </xf>
    <xf numFmtId="0" fontId="22" fillId="0" borderId="0" xfId="0" applyFont="1"/>
    <xf numFmtId="4" fontId="45" fillId="0" borderId="1" xfId="0" applyNumberFormat="1" applyFont="1" applyBorder="1" applyAlignment="1">
      <alignment horizontal="left" vertical="top"/>
    </xf>
    <xf numFmtId="189" fontId="49" fillId="0" borderId="0" xfId="0" applyNumberFormat="1" applyFont="1"/>
    <xf numFmtId="0" fontId="44" fillId="0" borderId="1" xfId="0" applyFont="1" applyBorder="1" applyAlignment="1">
      <alignment horizontal="left" vertical="center"/>
    </xf>
    <xf numFmtId="0" fontId="46" fillId="10" borderId="1" xfId="0" applyFont="1" applyFill="1" applyBorder="1"/>
    <xf numFmtId="0" fontId="50" fillId="0" borderId="1" xfId="0" applyFont="1" applyBorder="1"/>
    <xf numFmtId="183" fontId="45" fillId="0" borderId="8" xfId="0" applyNumberFormat="1" applyFont="1" applyBorder="1" applyAlignment="1">
      <alignment horizontal="center" vertical="center"/>
    </xf>
    <xf numFmtId="0" fontId="45" fillId="0" borderId="1" xfId="0" applyFont="1" applyBorder="1" applyAlignment="1">
      <alignment horizontal="left" vertical="center"/>
    </xf>
    <xf numFmtId="9" fontId="45" fillId="0" borderId="1" xfId="0" applyNumberFormat="1" applyFont="1" applyBorder="1"/>
    <xf numFmtId="175" fontId="51" fillId="0" borderId="1" xfId="0" applyNumberFormat="1" applyFont="1" applyBorder="1"/>
    <xf numFmtId="0" fontId="45" fillId="0" borderId="0" xfId="0" applyFont="1"/>
    <xf numFmtId="0" fontId="45" fillId="24" borderId="29" xfId="0" applyFont="1" applyFill="1" applyBorder="1"/>
    <xf numFmtId="175" fontId="29" fillId="10" borderId="1" xfId="0" applyNumberFormat="1" applyFont="1" applyFill="1" applyBorder="1"/>
    <xf numFmtId="186" fontId="22" fillId="0" borderId="0" xfId="0" applyNumberFormat="1" applyFont="1"/>
    <xf numFmtId="4" fontId="17" fillId="0" borderId="1" xfId="0" applyNumberFormat="1" applyFont="1" applyBorder="1"/>
    <xf numFmtId="190" fontId="17" fillId="0" borderId="1" xfId="0" applyNumberFormat="1" applyFont="1" applyBorder="1"/>
    <xf numFmtId="0" fontId="21" fillId="0" borderId="1" xfId="0" applyFont="1" applyBorder="1"/>
    <xf numFmtId="164" fontId="42" fillId="0" borderId="1" xfId="0" applyNumberFormat="1" applyFont="1" applyBorder="1" applyAlignment="1">
      <alignment wrapText="1"/>
    </xf>
    <xf numFmtId="164" fontId="42" fillId="0" borderId="1" xfId="0" applyNumberFormat="1" applyFont="1" applyBorder="1"/>
    <xf numFmtId="188" fontId="22" fillId="0" borderId="0" xfId="0" applyNumberFormat="1" applyFont="1" applyAlignment="1">
      <alignment wrapText="1"/>
    </xf>
    <xf numFmtId="0" fontId="42" fillId="0" borderId="1" xfId="0" applyFont="1" applyBorder="1" applyAlignment="1">
      <alignment vertical="center"/>
    </xf>
    <xf numFmtId="190" fontId="21" fillId="0" borderId="1" xfId="0" applyNumberFormat="1" applyFont="1" applyBorder="1"/>
    <xf numFmtId="0" fontId="40" fillId="0" borderId="0" xfId="0" applyFont="1"/>
    <xf numFmtId="0" fontId="43" fillId="0" borderId="1" xfId="0" applyFont="1" applyBorder="1"/>
    <xf numFmtId="0" fontId="43" fillId="25" borderId="1" xfId="0" applyFont="1" applyFill="1" applyBorder="1" applyAlignment="1">
      <alignment horizontal="left" vertical="top" wrapText="1"/>
    </xf>
    <xf numFmtId="0" fontId="43" fillId="25" borderId="1" xfId="0" applyFont="1" applyFill="1" applyBorder="1" applyAlignment="1">
      <alignment wrapText="1"/>
    </xf>
    <xf numFmtId="0" fontId="43" fillId="25" borderId="1" xfId="0" applyFont="1" applyFill="1" applyBorder="1"/>
    <xf numFmtId="0" fontId="45" fillId="0" borderId="1" xfId="0" applyFont="1" applyBorder="1" applyAlignment="1">
      <alignment wrapText="1"/>
    </xf>
    <xf numFmtId="4" fontId="45" fillId="0" borderId="1" xfId="0" applyNumberFormat="1" applyFont="1" applyBorder="1"/>
    <xf numFmtId="3" fontId="45" fillId="0" borderId="1" xfId="0" applyNumberFormat="1" applyFont="1" applyBorder="1"/>
    <xf numFmtId="0" fontId="43" fillId="0" borderId="1" xfId="0" applyFont="1" applyBorder="1" applyAlignment="1">
      <alignment horizontal="left" vertical="top"/>
    </xf>
    <xf numFmtId="0" fontId="43" fillId="0" borderId="1" xfId="0" applyFont="1" applyBorder="1" applyAlignment="1">
      <alignment wrapText="1"/>
    </xf>
    <xf numFmtId="0" fontId="45" fillId="0" borderId="1" xfId="0" applyFont="1" applyBorder="1" applyAlignment="1">
      <alignment horizontal="left" vertical="top"/>
    </xf>
    <xf numFmtId="0" fontId="45" fillId="0" borderId="0" xfId="0" applyFont="1" applyAlignment="1">
      <alignment horizontal="left" vertical="top"/>
    </xf>
    <xf numFmtId="0" fontId="43" fillId="25" borderId="1" xfId="0" applyFont="1" applyFill="1" applyBorder="1" applyAlignment="1">
      <alignment horizontal="left" vertical="top"/>
    </xf>
    <xf numFmtId="0" fontId="21" fillId="0" borderId="1" xfId="0" applyFont="1" applyBorder="1" applyAlignment="1">
      <alignment vertical="center"/>
    </xf>
    <xf numFmtId="0" fontId="21" fillId="0" borderId="1" xfId="0" applyFont="1" applyBorder="1" applyAlignment="1">
      <alignment vertical="center" wrapText="1"/>
    </xf>
    <xf numFmtId="3" fontId="21" fillId="0" borderId="1" xfId="0" applyNumberFormat="1" applyFont="1" applyBorder="1"/>
    <xf numFmtId="3" fontId="52" fillId="0" borderId="0" xfId="0" applyNumberFormat="1" applyFont="1" applyAlignment="1">
      <alignment wrapText="1"/>
    </xf>
    <xf numFmtId="0" fontId="17" fillId="0" borderId="0" xfId="0" applyFont="1" applyAlignment="1">
      <alignment horizontal="center"/>
    </xf>
    <xf numFmtId="164" fontId="17" fillId="26" borderId="1" xfId="0" applyNumberFormat="1" applyFont="1" applyFill="1" applyBorder="1" applyAlignment="1">
      <alignment wrapText="1"/>
    </xf>
    <xf numFmtId="0" fontId="47" fillId="0" borderId="1" xfId="0" applyFont="1" applyBorder="1" applyAlignment="1">
      <alignment vertical="center" wrapText="1"/>
    </xf>
    <xf numFmtId="164" fontId="17" fillId="0" borderId="0" xfId="0" applyNumberFormat="1" applyFont="1"/>
    <xf numFmtId="188" fontId="22" fillId="0" borderId="1" xfId="0" applyNumberFormat="1" applyFont="1" applyBorder="1" applyAlignment="1">
      <alignment wrapText="1"/>
    </xf>
    <xf numFmtId="0" fontId="6" fillId="0" borderId="0" xfId="0" applyFont="1"/>
    <xf numFmtId="0" fontId="53" fillId="12" borderId="1" xfId="0" applyFont="1" applyFill="1" applyBorder="1"/>
    <xf numFmtId="0" fontId="24" fillId="12" borderId="29" xfId="0" applyFont="1" applyFill="1" applyBorder="1"/>
    <xf numFmtId="0" fontId="53" fillId="6" borderId="5" xfId="0" applyFont="1" applyFill="1" applyBorder="1" applyAlignment="1">
      <alignment horizontal="center"/>
    </xf>
    <xf numFmtId="0" fontId="53" fillId="6" borderId="30" xfId="0" applyFont="1" applyFill="1" applyBorder="1" applyAlignment="1">
      <alignment horizontal="center"/>
    </xf>
    <xf numFmtId="0" fontId="53" fillId="6" borderId="29" xfId="0" applyFont="1" applyFill="1" applyBorder="1" applyAlignment="1">
      <alignment horizontal="center"/>
    </xf>
    <xf numFmtId="0" fontId="24" fillId="0" borderId="0" xfId="0" applyFont="1"/>
    <xf numFmtId="0" fontId="24" fillId="10" borderId="30" xfId="0" applyFont="1" applyFill="1" applyBorder="1"/>
    <xf numFmtId="0" fontId="53" fillId="0" borderId="0" xfId="0" applyFont="1"/>
    <xf numFmtId="0" fontId="24" fillId="0" borderId="0" xfId="0" applyFont="1" applyAlignment="1">
      <alignment horizontal="right"/>
    </xf>
    <xf numFmtId="0" fontId="24" fillId="2" borderId="1" xfId="0" applyFont="1" applyFill="1" applyBorder="1"/>
    <xf numFmtId="4" fontId="55" fillId="0" borderId="0" xfId="0" applyNumberFormat="1" applyFont="1"/>
    <xf numFmtId="4" fontId="56" fillId="0" borderId="0" xfId="0" applyNumberFormat="1" applyFont="1"/>
    <xf numFmtId="49" fontId="12" fillId="0" borderId="0" xfId="0" applyNumberFormat="1" applyFont="1"/>
    <xf numFmtId="1" fontId="12" fillId="0" borderId="0" xfId="0" applyNumberFormat="1" applyFont="1"/>
    <xf numFmtId="9" fontId="12" fillId="0" borderId="0" xfId="0" applyNumberFormat="1" applyFont="1"/>
    <xf numFmtId="0" fontId="58" fillId="30" borderId="31" xfId="1" applyFont="1" applyFill="1" applyBorder="1" applyAlignment="1">
      <alignment horizontal="center" vertical="center" wrapText="1"/>
    </xf>
    <xf numFmtId="0" fontId="3" fillId="0" borderId="16" xfId="1" applyAlignment="1">
      <alignment vertical="top" wrapText="1"/>
    </xf>
    <xf numFmtId="0" fontId="3" fillId="0" borderId="31" xfId="1" applyBorder="1"/>
    <xf numFmtId="0" fontId="3" fillId="0" borderId="16" xfId="1"/>
    <xf numFmtId="0" fontId="59" fillId="0" borderId="31" xfId="1" applyFont="1" applyBorder="1"/>
    <xf numFmtId="0" fontId="60" fillId="0" borderId="16" xfId="2"/>
    <xf numFmtId="0" fontId="60" fillId="0" borderId="31" xfId="2" applyBorder="1"/>
    <xf numFmtId="0" fontId="64" fillId="32" borderId="31" xfId="3" applyFont="1" applyFill="1" applyBorder="1" applyAlignment="1">
      <alignment vertical="top" wrapText="1"/>
    </xf>
    <xf numFmtId="0" fontId="66" fillId="33" borderId="31" xfId="4" applyFont="1" applyFill="1" applyBorder="1" applyAlignment="1">
      <alignment vertical="top"/>
    </xf>
    <xf numFmtId="1" fontId="60" fillId="0" borderId="31" xfId="2" applyNumberFormat="1" applyBorder="1"/>
    <xf numFmtId="0" fontId="66" fillId="35" borderId="31" xfId="4" applyFont="1" applyFill="1" applyBorder="1" applyAlignment="1">
      <alignment vertical="top"/>
    </xf>
    <xf numFmtId="191" fontId="60" fillId="0" borderId="31" xfId="2" applyNumberFormat="1" applyBorder="1"/>
    <xf numFmtId="1" fontId="58" fillId="32" borderId="31" xfId="2" applyNumberFormat="1" applyFont="1" applyFill="1" applyBorder="1" applyAlignment="1">
      <alignment vertical="top" wrapText="1"/>
    </xf>
    <xf numFmtId="1" fontId="58" fillId="31" borderId="31" xfId="2" applyNumberFormat="1" applyFont="1" applyFill="1" applyBorder="1"/>
    <xf numFmtId="191" fontId="58" fillId="31" borderId="31" xfId="2" applyNumberFormat="1" applyFont="1" applyFill="1" applyBorder="1"/>
    <xf numFmtId="1" fontId="58" fillId="30" borderId="31" xfId="2" applyNumberFormat="1" applyFont="1" applyFill="1" applyBorder="1" applyAlignment="1">
      <alignment vertical="top" wrapText="1"/>
    </xf>
    <xf numFmtId="0" fontId="58" fillId="30" borderId="31" xfId="2" applyFont="1" applyFill="1" applyBorder="1"/>
    <xf numFmtId="0" fontId="58" fillId="31" borderId="31" xfId="2" applyFont="1" applyFill="1" applyBorder="1"/>
    <xf numFmtId="0" fontId="67" fillId="0" borderId="31" xfId="2" applyFont="1" applyBorder="1"/>
    <xf numFmtId="0" fontId="60" fillId="0" borderId="16" xfId="2" applyAlignment="1">
      <alignment horizontal="center"/>
    </xf>
    <xf numFmtId="9" fontId="0" fillId="34" borderId="31" xfId="5" applyFont="1" applyFill="1" applyBorder="1"/>
    <xf numFmtId="1" fontId="60" fillId="34" borderId="31" xfId="2" applyNumberFormat="1" applyFill="1" applyBorder="1"/>
    <xf numFmtId="0" fontId="58" fillId="31" borderId="16" xfId="2" applyFont="1" applyFill="1"/>
    <xf numFmtId="0" fontId="58" fillId="0" borderId="38" xfId="2" applyFont="1" applyBorder="1"/>
    <xf numFmtId="0" fontId="68" fillId="0" borderId="31" xfId="2" applyFont="1" applyBorder="1" applyAlignment="1">
      <alignment horizontal="center" vertical="center" wrapText="1"/>
    </xf>
    <xf numFmtId="1" fontId="60" fillId="0" borderId="16" xfId="2" applyNumberFormat="1"/>
    <xf numFmtId="0" fontId="60" fillId="0" borderId="31" xfId="2" applyBorder="1" applyAlignment="1">
      <alignment horizontal="center" vertical="center"/>
    </xf>
    <xf numFmtId="1" fontId="60" fillId="0" borderId="31" xfId="2" applyNumberFormat="1" applyBorder="1" applyAlignment="1">
      <alignment horizontal="center" vertical="center"/>
    </xf>
    <xf numFmtId="0" fontId="5" fillId="37" borderId="1" xfId="0" applyFont="1" applyFill="1" applyBorder="1" applyAlignment="1">
      <alignment wrapText="1"/>
    </xf>
    <xf numFmtId="0" fontId="7" fillId="37" borderId="1" xfId="0" applyFont="1" applyFill="1" applyBorder="1" applyAlignment="1">
      <alignment wrapText="1"/>
    </xf>
    <xf numFmtId="0" fontId="6" fillId="37" borderId="1" xfId="0" applyFont="1" applyFill="1" applyBorder="1" applyAlignment="1">
      <alignment wrapText="1"/>
    </xf>
    <xf numFmtId="1" fontId="69" fillId="34" borderId="31" xfId="2" applyNumberFormat="1" applyFont="1" applyFill="1" applyBorder="1"/>
    <xf numFmtId="1" fontId="5" fillId="37" borderId="1" xfId="0" applyNumberFormat="1" applyFont="1" applyFill="1" applyBorder="1" applyAlignment="1">
      <alignment horizontal="right" wrapText="1"/>
    </xf>
    <xf numFmtId="0" fontId="5" fillId="37" borderId="2" xfId="0" applyFont="1" applyFill="1" applyBorder="1" applyAlignment="1">
      <alignment wrapText="1"/>
    </xf>
    <xf numFmtId="1" fontId="5" fillId="37" borderId="2" xfId="0" applyNumberFormat="1" applyFont="1" applyFill="1" applyBorder="1" applyAlignment="1">
      <alignment horizontal="right" wrapText="1"/>
    </xf>
    <xf numFmtId="164" fontId="5" fillId="37" borderId="1" xfId="0" applyNumberFormat="1" applyFont="1" applyFill="1" applyBorder="1" applyAlignment="1">
      <alignment wrapText="1"/>
    </xf>
    <xf numFmtId="0" fontId="13" fillId="6" borderId="16" xfId="0" applyFont="1" applyFill="1" applyBorder="1" applyAlignment="1">
      <alignment horizontal="center"/>
    </xf>
    <xf numFmtId="0" fontId="71" fillId="37" borderId="1" xfId="0" applyFont="1" applyFill="1" applyBorder="1" applyAlignment="1">
      <alignment wrapText="1"/>
    </xf>
    <xf numFmtId="1" fontId="72" fillId="0" borderId="1" xfId="0" applyNumberFormat="1" applyFont="1" applyBorder="1" applyAlignment="1">
      <alignment horizontal="left" vertical="top"/>
    </xf>
    <xf numFmtId="0" fontId="71" fillId="0" borderId="1" xfId="0" applyFont="1" applyBorder="1" applyAlignment="1">
      <alignment wrapText="1"/>
    </xf>
    <xf numFmtId="0" fontId="71" fillId="3" borderId="1" xfId="0" applyFont="1" applyFill="1" applyBorder="1" applyAlignment="1">
      <alignment wrapText="1"/>
    </xf>
    <xf numFmtId="3" fontId="72" fillId="0" borderId="1" xfId="0" applyNumberFormat="1" applyFont="1" applyBorder="1" applyAlignment="1">
      <alignment wrapText="1"/>
    </xf>
    <xf numFmtId="0" fontId="72" fillId="0" borderId="1" xfId="0" applyFont="1" applyBorder="1" applyAlignment="1">
      <alignment wrapText="1"/>
    </xf>
    <xf numFmtId="0" fontId="72" fillId="37" borderId="1" xfId="0" applyFont="1" applyFill="1" applyBorder="1" applyAlignment="1">
      <alignment wrapText="1"/>
    </xf>
    <xf numFmtId="0" fontId="72" fillId="0" borderId="0" xfId="0" applyFont="1" applyAlignment="1">
      <alignment wrapText="1"/>
    </xf>
    <xf numFmtId="4" fontId="72" fillId="0" borderId="0" xfId="0" applyNumberFormat="1" applyFont="1" applyAlignment="1">
      <alignment wrapText="1"/>
    </xf>
    <xf numFmtId="164" fontId="71" fillId="0" borderId="0" xfId="0" applyNumberFormat="1" applyFont="1" applyAlignment="1">
      <alignment wrapText="1"/>
    </xf>
    <xf numFmtId="0" fontId="5" fillId="2" borderId="29" xfId="0" applyFont="1" applyFill="1" applyBorder="1" applyAlignment="1">
      <alignment horizontal="left" vertical="top"/>
    </xf>
    <xf numFmtId="0" fontId="5" fillId="38" borderId="29" xfId="0" applyFont="1" applyFill="1" applyBorder="1" applyAlignment="1">
      <alignment horizontal="left" vertical="top"/>
    </xf>
    <xf numFmtId="0" fontId="6" fillId="31" borderId="29" xfId="0" applyFont="1" applyFill="1" applyBorder="1" applyAlignment="1">
      <alignment horizontal="left" vertical="top"/>
    </xf>
    <xf numFmtId="0" fontId="5" fillId="2" borderId="5" xfId="0" applyFont="1" applyFill="1" applyBorder="1" applyAlignment="1">
      <alignment horizontal="left" vertical="top"/>
    </xf>
    <xf numFmtId="0" fontId="6" fillId="0" borderId="29" xfId="0" applyFont="1" applyBorder="1" applyAlignment="1">
      <alignment horizontal="left" vertical="top"/>
    </xf>
    <xf numFmtId="1" fontId="5" fillId="3" borderId="3" xfId="0" applyNumberFormat="1" applyFont="1" applyFill="1" applyBorder="1" applyAlignment="1">
      <alignment horizontal="left" vertical="top" wrapText="1"/>
    </xf>
    <xf numFmtId="1" fontId="5" fillId="0" borderId="5" xfId="0" applyNumberFormat="1" applyFont="1" applyBorder="1" applyAlignment="1">
      <alignment horizontal="left" vertical="top" wrapText="1"/>
    </xf>
    <xf numFmtId="0" fontId="5" fillId="0" borderId="29" xfId="0" applyFont="1" applyBorder="1" applyAlignment="1">
      <alignment horizontal="left" vertical="top"/>
    </xf>
    <xf numFmtId="1" fontId="5" fillId="0" borderId="5" xfId="0" applyNumberFormat="1" applyFont="1" applyBorder="1" applyAlignment="1">
      <alignment horizontal="left" vertical="top"/>
    </xf>
    <xf numFmtId="0" fontId="10" fillId="5" borderId="16" xfId="0" applyFont="1" applyFill="1" applyBorder="1"/>
    <xf numFmtId="0" fontId="11" fillId="5" borderId="16" xfId="0" applyFont="1" applyFill="1" applyBorder="1" applyAlignment="1">
      <alignment vertical="top"/>
    </xf>
    <xf numFmtId="0" fontId="12" fillId="5" borderId="16" xfId="0" applyFont="1" applyFill="1" applyBorder="1" applyAlignment="1">
      <alignment vertical="top"/>
    </xf>
    <xf numFmtId="0" fontId="13" fillId="5" borderId="16" xfId="0" applyFont="1" applyFill="1" applyBorder="1" applyAlignment="1">
      <alignment vertical="top"/>
    </xf>
    <xf numFmtId="0" fontId="12" fillId="5" borderId="16" xfId="0" applyFont="1" applyFill="1" applyBorder="1" applyAlignment="1">
      <alignment horizontal="right" vertical="top"/>
    </xf>
    <xf numFmtId="1" fontId="12" fillId="5" borderId="16" xfId="0" applyNumberFormat="1" applyFont="1" applyFill="1" applyBorder="1" applyAlignment="1">
      <alignment vertical="top"/>
    </xf>
    <xf numFmtId="0" fontId="12" fillId="0" borderId="5" xfId="0" applyFont="1" applyBorder="1" applyAlignment="1">
      <alignment vertical="top" wrapText="1"/>
    </xf>
    <xf numFmtId="0" fontId="12" fillId="0" borderId="5" xfId="0" applyFont="1" applyBorder="1" applyAlignment="1">
      <alignment vertical="top"/>
    </xf>
    <xf numFmtId="3" fontId="12" fillId="0" borderId="5" xfId="0" applyNumberFormat="1" applyFont="1" applyBorder="1" applyAlignment="1">
      <alignment vertical="top"/>
    </xf>
    <xf numFmtId="166" fontId="12" fillId="0" borderId="5" xfId="0" applyNumberFormat="1" applyFont="1" applyBorder="1" applyAlignment="1">
      <alignment vertical="top"/>
    </xf>
    <xf numFmtId="0" fontId="12" fillId="0" borderId="5" xfId="0" applyFont="1" applyBorder="1" applyAlignment="1">
      <alignment horizontal="left" vertical="center" wrapText="1"/>
    </xf>
    <xf numFmtId="0" fontId="16" fillId="0" borderId="5" xfId="0" applyFont="1" applyBorder="1" applyAlignment="1">
      <alignment vertical="top"/>
    </xf>
    <xf numFmtId="0" fontId="16" fillId="0" borderId="1" xfId="0" applyFont="1" applyBorder="1" applyAlignment="1">
      <alignment vertical="top"/>
    </xf>
    <xf numFmtId="0" fontId="11" fillId="8" borderId="16" xfId="0" applyFont="1" applyFill="1" applyBorder="1" applyAlignment="1">
      <alignment vertical="top"/>
    </xf>
    <xf numFmtId="0" fontId="18" fillId="8" borderId="16" xfId="0" applyFont="1" applyFill="1" applyBorder="1" applyAlignment="1">
      <alignment vertical="top"/>
    </xf>
    <xf numFmtId="0" fontId="17" fillId="8" borderId="16" xfId="0" applyFont="1" applyFill="1" applyBorder="1" applyAlignment="1">
      <alignment vertical="top"/>
    </xf>
    <xf numFmtId="0" fontId="19" fillId="8" borderId="16" xfId="0" applyFont="1" applyFill="1" applyBorder="1" applyAlignment="1">
      <alignment vertical="top"/>
    </xf>
    <xf numFmtId="0" fontId="14" fillId="6" borderId="16" xfId="0" applyFont="1" applyFill="1" applyBorder="1" applyAlignment="1">
      <alignment horizontal="center" vertical="top"/>
    </xf>
    <xf numFmtId="0" fontId="14" fillId="6" borderId="16" xfId="0" applyFont="1" applyFill="1" applyBorder="1" applyAlignment="1">
      <alignment horizontal="left" vertical="top"/>
    </xf>
    <xf numFmtId="0" fontId="17" fillId="5" borderId="16" xfId="0" applyFont="1" applyFill="1" applyBorder="1" applyAlignment="1">
      <alignment horizontal="center" vertical="top"/>
    </xf>
    <xf numFmtId="168" fontId="22" fillId="6" borderId="8" xfId="0" applyNumberFormat="1" applyFont="1" applyFill="1" applyBorder="1" applyAlignment="1">
      <alignment horizontal="center" vertical="center" wrapText="1"/>
    </xf>
    <xf numFmtId="168" fontId="14" fillId="6" borderId="8" xfId="0" applyNumberFormat="1" applyFont="1" applyFill="1" applyBorder="1" applyAlignment="1">
      <alignment vertical="top"/>
    </xf>
    <xf numFmtId="168" fontId="17" fillId="0" borderId="30" xfId="0" applyNumberFormat="1" applyFont="1" applyBorder="1" applyAlignment="1">
      <alignment vertical="top" wrapText="1"/>
    </xf>
    <xf numFmtId="2" fontId="11" fillId="6" borderId="16" xfId="0" applyNumberFormat="1" applyFont="1" applyFill="1" applyBorder="1" applyAlignment="1">
      <alignment vertical="top"/>
    </xf>
    <xf numFmtId="0" fontId="17" fillId="6" borderId="16" xfId="0" applyFont="1" applyFill="1" applyBorder="1" applyAlignment="1">
      <alignment vertical="top"/>
    </xf>
    <xf numFmtId="167" fontId="17" fillId="6" borderId="16" xfId="0" applyNumberFormat="1" applyFont="1" applyFill="1" applyBorder="1" applyAlignment="1">
      <alignment horizontal="center" vertical="top"/>
    </xf>
    <xf numFmtId="0" fontId="17" fillId="6" borderId="16" xfId="0" applyFont="1" applyFill="1" applyBorder="1" applyAlignment="1">
      <alignment horizontal="center" vertical="top"/>
    </xf>
    <xf numFmtId="168" fontId="17" fillId="6" borderId="16" xfId="0" applyNumberFormat="1" applyFont="1" applyFill="1" applyBorder="1" applyAlignment="1">
      <alignment vertical="top"/>
    </xf>
    <xf numFmtId="0" fontId="11" fillId="6" borderId="16" xfId="0" applyFont="1" applyFill="1" applyBorder="1" applyAlignment="1">
      <alignment vertical="top"/>
    </xf>
    <xf numFmtId="0" fontId="17" fillId="5" borderId="16" xfId="0" applyFont="1" applyFill="1" applyBorder="1"/>
    <xf numFmtId="0" fontId="22" fillId="6" borderId="8" xfId="0" applyFont="1" applyFill="1" applyBorder="1" applyAlignment="1">
      <alignment horizontal="center" vertical="top" wrapText="1"/>
    </xf>
    <xf numFmtId="0" fontId="14" fillId="6" borderId="8" xfId="0" applyFont="1" applyFill="1" applyBorder="1" applyAlignment="1">
      <alignment vertical="top"/>
    </xf>
    <xf numFmtId="168" fontId="17" fillId="0" borderId="30" xfId="0" applyNumberFormat="1" applyFont="1" applyBorder="1" applyAlignment="1">
      <alignment vertical="top"/>
    </xf>
    <xf numFmtId="168" fontId="11" fillId="6" borderId="16" xfId="0" applyNumberFormat="1" applyFont="1" applyFill="1" applyBorder="1" applyAlignment="1">
      <alignment vertical="top"/>
    </xf>
    <xf numFmtId="0" fontId="14" fillId="6" borderId="16" xfId="0" applyFont="1" applyFill="1" applyBorder="1"/>
    <xf numFmtId="0" fontId="10" fillId="6" borderId="16" xfId="0" applyFont="1" applyFill="1" applyBorder="1"/>
    <xf numFmtId="0" fontId="13" fillId="9" borderId="16" xfId="0" applyFont="1" applyFill="1" applyBorder="1"/>
    <xf numFmtId="1" fontId="13" fillId="11" borderId="16" xfId="0" applyNumberFormat="1" applyFont="1" applyFill="1" applyBorder="1"/>
    <xf numFmtId="4" fontId="23" fillId="0" borderId="15" xfId="0" applyNumberFormat="1" applyFont="1" applyBorder="1"/>
    <xf numFmtId="0" fontId="25" fillId="13" borderId="16" xfId="0" applyFont="1" applyFill="1" applyBorder="1" applyAlignment="1">
      <alignment horizontal="center"/>
    </xf>
    <xf numFmtId="4" fontId="5" fillId="12" borderId="16" xfId="0" applyNumberFormat="1" applyFont="1" applyFill="1" applyBorder="1" applyAlignment="1">
      <alignment horizontal="center"/>
    </xf>
    <xf numFmtId="4" fontId="5" fillId="0" borderId="17" xfId="0" applyNumberFormat="1" applyFont="1" applyBorder="1" applyAlignment="1">
      <alignment horizontal="center"/>
    </xf>
    <xf numFmtId="4" fontId="5" fillId="12" borderId="17" xfId="0" applyNumberFormat="1" applyFont="1" applyFill="1" applyBorder="1" applyAlignment="1">
      <alignment horizontal="center"/>
    </xf>
    <xf numFmtId="4" fontId="25" fillId="12" borderId="16" xfId="0" applyNumberFormat="1" applyFont="1" applyFill="1" applyBorder="1" applyAlignment="1">
      <alignment horizontal="center"/>
    </xf>
    <xf numFmtId="0" fontId="13" fillId="5" borderId="16" xfId="0" applyFont="1" applyFill="1" applyBorder="1" applyAlignment="1">
      <alignment wrapText="1"/>
    </xf>
    <xf numFmtId="0" fontId="12" fillId="5" borderId="16" xfId="0" applyFont="1" applyFill="1" applyBorder="1"/>
    <xf numFmtId="0" fontId="12" fillId="14" borderId="16" xfId="0" applyFont="1" applyFill="1" applyBorder="1"/>
    <xf numFmtId="0" fontId="5" fillId="5" borderId="16" xfId="0" applyFont="1" applyFill="1" applyBorder="1" applyAlignment="1">
      <alignment wrapText="1"/>
    </xf>
    <xf numFmtId="0" fontId="13" fillId="0" borderId="5" xfId="0" applyFont="1" applyBorder="1" applyAlignment="1">
      <alignment horizontal="center" vertical="center"/>
    </xf>
    <xf numFmtId="10" fontId="12" fillId="0" borderId="5" xfId="0" applyNumberFormat="1" applyFont="1" applyBorder="1"/>
    <xf numFmtId="0" fontId="24" fillId="0" borderId="5" xfId="0" applyFont="1" applyBorder="1" applyAlignment="1">
      <alignment horizontal="left" wrapText="1"/>
    </xf>
    <xf numFmtId="9" fontId="24" fillId="0" borderId="5" xfId="0" applyNumberFormat="1" applyFont="1" applyBorder="1" applyAlignment="1">
      <alignment horizontal="center" vertical="center" wrapText="1"/>
    </xf>
    <xf numFmtId="0" fontId="12" fillId="6" borderId="16" xfId="0" applyFont="1" applyFill="1" applyBorder="1"/>
    <xf numFmtId="0" fontId="5" fillId="15" borderId="16" xfId="0" applyFont="1" applyFill="1" applyBorder="1" applyAlignment="1">
      <alignment wrapText="1"/>
    </xf>
    <xf numFmtId="0" fontId="13" fillId="15" borderId="16" xfId="0" applyFont="1" applyFill="1" applyBorder="1" applyAlignment="1">
      <alignment horizontal="center" vertical="center" wrapText="1"/>
    </xf>
    <xf numFmtId="0" fontId="24" fillId="15" borderId="16" xfId="0" applyFont="1" applyFill="1" applyBorder="1" applyAlignment="1">
      <alignment horizontal="left"/>
    </xf>
    <xf numFmtId="172" fontId="12" fillId="15" borderId="16" xfId="0" applyNumberFormat="1" applyFont="1" applyFill="1" applyBorder="1" applyAlignment="1">
      <alignment horizontal="center"/>
    </xf>
    <xf numFmtId="174" fontId="12" fillId="15" borderId="16" xfId="0" applyNumberFormat="1" applyFont="1" applyFill="1" applyBorder="1" applyAlignment="1">
      <alignment horizontal="center"/>
    </xf>
    <xf numFmtId="0" fontId="12" fillId="15" borderId="16" xfId="0" applyFont="1" applyFill="1" applyBorder="1"/>
    <xf numFmtId="0" fontId="13" fillId="6" borderId="16" xfId="0" applyFont="1" applyFill="1" applyBorder="1" applyAlignment="1">
      <alignment horizontal="right" wrapText="1"/>
    </xf>
    <xf numFmtId="1" fontId="13" fillId="6" borderId="16" xfId="0" applyNumberFormat="1" applyFont="1" applyFill="1" applyBorder="1"/>
    <xf numFmtId="0" fontId="12" fillId="14" borderId="16" xfId="0" applyFont="1" applyFill="1" applyBorder="1" applyAlignment="1">
      <alignment wrapText="1"/>
    </xf>
    <xf numFmtId="0" fontId="12" fillId="6" borderId="19" xfId="0" applyFont="1" applyFill="1" applyBorder="1"/>
    <xf numFmtId="0" fontId="12" fillId="10" borderId="16" xfId="0" applyFont="1" applyFill="1" applyBorder="1"/>
    <xf numFmtId="177" fontId="12" fillId="0" borderId="30" xfId="0" applyNumberFormat="1" applyFont="1" applyBorder="1"/>
    <xf numFmtId="0" fontId="13" fillId="6" borderId="16" xfId="0" applyFont="1" applyFill="1" applyBorder="1"/>
    <xf numFmtId="177" fontId="12" fillId="0" borderId="30" xfId="0" applyNumberFormat="1" applyFont="1" applyBorder="1" applyAlignment="1">
      <alignment wrapText="1"/>
    </xf>
    <xf numFmtId="0" fontId="12" fillId="14" borderId="16" xfId="0" applyFont="1" applyFill="1" applyBorder="1" applyAlignment="1">
      <alignment horizontal="center" vertical="center"/>
    </xf>
    <xf numFmtId="177" fontId="12" fillId="0" borderId="30" xfId="0" applyNumberFormat="1" applyFont="1" applyBorder="1" applyAlignment="1">
      <alignment horizontal="right" wrapText="1"/>
    </xf>
    <xf numFmtId="0" fontId="13" fillId="15" borderId="16" xfId="0" applyFont="1" applyFill="1" applyBorder="1" applyAlignment="1">
      <alignment vertical="top"/>
    </xf>
    <xf numFmtId="10" fontId="5" fillId="0" borderId="5" xfId="0" applyNumberFormat="1" applyFont="1" applyBorder="1"/>
    <xf numFmtId="0" fontId="13" fillId="6" borderId="16" xfId="0" applyFont="1" applyFill="1" applyBorder="1" applyAlignment="1">
      <alignment wrapText="1"/>
    </xf>
    <xf numFmtId="4" fontId="13" fillId="6" borderId="16" xfId="0" applyNumberFormat="1" applyFont="1" applyFill="1" applyBorder="1"/>
    <xf numFmtId="175" fontId="12" fillId="6" borderId="16" xfId="0" applyNumberFormat="1" applyFont="1" applyFill="1" applyBorder="1"/>
    <xf numFmtId="176" fontId="12" fillId="6" borderId="16" xfId="0" applyNumberFormat="1" applyFont="1" applyFill="1" applyBorder="1" applyAlignment="1">
      <alignment horizontal="center" vertical="center"/>
    </xf>
    <xf numFmtId="0" fontId="13" fillId="9" borderId="16" xfId="0" applyFont="1" applyFill="1" applyBorder="1" applyAlignment="1">
      <alignment horizontal="right" wrapText="1"/>
    </xf>
    <xf numFmtId="0" fontId="13" fillId="11" borderId="16" xfId="0" applyFont="1" applyFill="1" applyBorder="1"/>
    <xf numFmtId="1" fontId="17" fillId="0" borderId="5" xfId="0" applyNumberFormat="1" applyFont="1" applyBorder="1" applyAlignment="1">
      <alignment horizontal="left" vertical="top"/>
    </xf>
    <xf numFmtId="1" fontId="17" fillId="0" borderId="5" xfId="0" applyNumberFormat="1" applyFont="1" applyBorder="1" applyAlignment="1">
      <alignment vertical="center"/>
    </xf>
    <xf numFmtId="1" fontId="17" fillId="0" borderId="5" xfId="0" applyNumberFormat="1" applyFont="1" applyBorder="1"/>
    <xf numFmtId="1" fontId="22" fillId="0" borderId="5" xfId="0" applyNumberFormat="1" applyFont="1" applyBorder="1" applyAlignment="1">
      <alignment vertical="center" wrapText="1"/>
    </xf>
    <xf numFmtId="1" fontId="21" fillId="0" borderId="5" xfId="0" applyNumberFormat="1" applyFont="1" applyBorder="1" applyAlignment="1">
      <alignment vertical="center"/>
    </xf>
    <xf numFmtId="1" fontId="17" fillId="0" borderId="5" xfId="0" applyNumberFormat="1" applyFont="1" applyBorder="1" applyAlignment="1">
      <alignment vertical="center" wrapText="1"/>
    </xf>
    <xf numFmtId="1" fontId="17" fillId="0" borderId="5" xfId="0" applyNumberFormat="1" applyFont="1" applyBorder="1" applyAlignment="1">
      <alignment horizontal="left" vertical="top" wrapText="1"/>
    </xf>
    <xf numFmtId="1" fontId="21" fillId="0" borderId="5" xfId="0" applyNumberFormat="1" applyFont="1" applyBorder="1" applyAlignment="1">
      <alignment horizontal="left" vertical="top"/>
    </xf>
    <xf numFmtId="1" fontId="21" fillId="0" borderId="5" xfId="0" applyNumberFormat="1" applyFont="1" applyBorder="1"/>
    <xf numFmtId="1" fontId="17" fillId="6" borderId="3" xfId="0" applyNumberFormat="1" applyFont="1" applyFill="1" applyBorder="1" applyAlignment="1">
      <alignment horizontal="center" vertical="center" wrapText="1"/>
    </xf>
    <xf numFmtId="1" fontId="17" fillId="3" borderId="3" xfId="0" applyNumberFormat="1" applyFont="1" applyFill="1" applyBorder="1" applyAlignment="1">
      <alignment horizontal="left" vertical="top" wrapText="1"/>
    </xf>
    <xf numFmtId="1" fontId="17" fillId="6" borderId="3" xfId="0" applyNumberFormat="1" applyFont="1" applyFill="1" applyBorder="1" applyAlignment="1">
      <alignment horizontal="left" vertical="top" wrapText="1"/>
    </xf>
    <xf numFmtId="1" fontId="17" fillId="7" borderId="3" xfId="0" applyNumberFormat="1" applyFont="1" applyFill="1" applyBorder="1" applyAlignment="1">
      <alignment vertical="center"/>
    </xf>
    <xf numFmtId="1" fontId="17" fillId="3" borderId="3" xfId="0" applyNumberFormat="1" applyFont="1" applyFill="1" applyBorder="1" applyAlignment="1">
      <alignment horizontal="left" vertical="center"/>
    </xf>
    <xf numFmtId="1" fontId="17" fillId="3" borderId="3" xfId="0" applyNumberFormat="1" applyFont="1" applyFill="1" applyBorder="1" applyAlignment="1">
      <alignment vertical="center"/>
    </xf>
    <xf numFmtId="1" fontId="36" fillId="13" borderId="3" xfId="0" applyNumberFormat="1" applyFont="1" applyFill="1" applyBorder="1" applyAlignment="1">
      <alignment vertical="center"/>
    </xf>
    <xf numFmtId="1" fontId="17" fillId="3" borderId="3" xfId="0" applyNumberFormat="1" applyFont="1" applyFill="1" applyBorder="1" applyAlignment="1">
      <alignment horizontal="center" vertical="center"/>
    </xf>
    <xf numFmtId="1" fontId="17" fillId="21" borderId="3" xfId="0" applyNumberFormat="1" applyFont="1" applyFill="1" applyBorder="1" applyAlignment="1">
      <alignment horizontal="center" vertical="center"/>
    </xf>
    <xf numFmtId="186" fontId="17" fillId="6" borderId="3" xfId="0" applyNumberFormat="1" applyFont="1" applyFill="1" applyBorder="1" applyAlignment="1">
      <alignment horizontal="right" vertical="center"/>
    </xf>
    <xf numFmtId="186" fontId="17" fillId="13" borderId="3" xfId="0" applyNumberFormat="1" applyFont="1" applyFill="1" applyBorder="1" applyAlignment="1">
      <alignment horizontal="right" vertical="center"/>
    </xf>
    <xf numFmtId="9" fontId="17" fillId="15" borderId="3" xfId="0" applyNumberFormat="1" applyFont="1" applyFill="1" applyBorder="1" applyAlignment="1">
      <alignment horizontal="right" vertical="center"/>
    </xf>
    <xf numFmtId="186" fontId="17" fillId="21" borderId="3" xfId="0" applyNumberFormat="1" applyFont="1" applyFill="1" applyBorder="1" applyAlignment="1">
      <alignment horizontal="right" vertical="center"/>
    </xf>
    <xf numFmtId="186" fontId="17" fillId="3" borderId="3" xfId="0" applyNumberFormat="1" applyFont="1" applyFill="1" applyBorder="1" applyAlignment="1">
      <alignment horizontal="right" vertical="center"/>
    </xf>
    <xf numFmtId="1" fontId="36" fillId="3" borderId="3" xfId="0" applyNumberFormat="1" applyFont="1" applyFill="1" applyBorder="1" applyAlignment="1">
      <alignment horizontal="left" vertical="top"/>
    </xf>
    <xf numFmtId="1" fontId="17" fillId="6" borderId="3" xfId="0" applyNumberFormat="1" applyFont="1" applyFill="1" applyBorder="1" applyAlignment="1">
      <alignment horizontal="left" vertical="top"/>
    </xf>
    <xf numFmtId="0" fontId="22" fillId="12" borderId="16" xfId="0" applyFont="1" applyFill="1" applyBorder="1"/>
    <xf numFmtId="0" fontId="17" fillId="12" borderId="16" xfId="0" applyFont="1" applyFill="1" applyBorder="1"/>
    <xf numFmtId="4" fontId="17" fillId="12" borderId="16" xfId="0" applyNumberFormat="1" applyFont="1" applyFill="1" applyBorder="1"/>
    <xf numFmtId="187" fontId="17" fillId="12" borderId="16" xfId="0" applyNumberFormat="1" applyFont="1" applyFill="1" applyBorder="1"/>
    <xf numFmtId="0" fontId="17" fillId="14" borderId="16" xfId="0" applyFont="1" applyFill="1" applyBorder="1"/>
    <xf numFmtId="0" fontId="40" fillId="14" borderId="16" xfId="0" applyFont="1" applyFill="1" applyBorder="1"/>
    <xf numFmtId="0" fontId="41" fillId="22" borderId="16" xfId="0" applyFont="1" applyFill="1" applyBorder="1"/>
    <xf numFmtId="164" fontId="41" fillId="22" borderId="16" xfId="0" applyNumberFormat="1" applyFont="1" applyFill="1" applyBorder="1" applyAlignment="1">
      <alignment wrapText="1"/>
    </xf>
    <xf numFmtId="164" fontId="34" fillId="22" borderId="16" xfId="0" applyNumberFormat="1" applyFont="1" applyFill="1" applyBorder="1" applyAlignment="1">
      <alignment wrapText="1"/>
    </xf>
    <xf numFmtId="3" fontId="41" fillId="22" borderId="16" xfId="0" applyNumberFormat="1" applyFont="1" applyFill="1" applyBorder="1" applyAlignment="1">
      <alignment wrapText="1"/>
    </xf>
    <xf numFmtId="3" fontId="41" fillId="22" borderId="16" xfId="0" applyNumberFormat="1" applyFont="1" applyFill="1" applyBorder="1"/>
    <xf numFmtId="187" fontId="41" fillId="22" borderId="16" xfId="0" applyNumberFormat="1" applyFont="1" applyFill="1" applyBorder="1"/>
    <xf numFmtId="1" fontId="22" fillId="12" borderId="16" xfId="0" applyNumberFormat="1" applyFont="1" applyFill="1" applyBorder="1"/>
    <xf numFmtId="1" fontId="17" fillId="12" borderId="16" xfId="0" applyNumberFormat="1" applyFont="1" applyFill="1" applyBorder="1"/>
    <xf numFmtId="0" fontId="45" fillId="0" borderId="29" xfId="0" applyFont="1" applyBorder="1"/>
    <xf numFmtId="3" fontId="45" fillId="0" borderId="29" xfId="0" applyNumberFormat="1" applyFont="1" applyBorder="1" applyAlignment="1">
      <alignment horizontal="center" vertical="center"/>
    </xf>
    <xf numFmtId="3" fontId="44" fillId="10" borderId="16" xfId="0" applyNumberFormat="1" applyFont="1" applyFill="1" applyBorder="1" applyAlignment="1">
      <alignment vertical="center"/>
    </xf>
    <xf numFmtId="3" fontId="46" fillId="10" borderId="16" xfId="0" applyNumberFormat="1" applyFont="1" applyFill="1" applyBorder="1" applyAlignment="1">
      <alignment vertical="center"/>
    </xf>
    <xf numFmtId="0" fontId="46" fillId="10" borderId="16" xfId="0" applyFont="1" applyFill="1" applyBorder="1"/>
    <xf numFmtId="3" fontId="46" fillId="10" borderId="16" xfId="0" applyNumberFormat="1" applyFont="1" applyFill="1" applyBorder="1"/>
    <xf numFmtId="0" fontId="44" fillId="10" borderId="16" xfId="0" applyFont="1" applyFill="1" applyBorder="1"/>
    <xf numFmtId="3" fontId="44" fillId="10" borderId="16" xfId="0" applyNumberFormat="1" applyFont="1" applyFill="1" applyBorder="1"/>
    <xf numFmtId="0" fontId="22" fillId="12" borderId="17" xfId="0" applyFont="1" applyFill="1" applyBorder="1" applyAlignment="1">
      <alignment horizontal="left"/>
    </xf>
    <xf numFmtId="0" fontId="22" fillId="12" borderId="17" xfId="0" applyFont="1" applyFill="1" applyBorder="1" applyAlignment="1">
      <alignment horizontal="left" wrapText="1"/>
    </xf>
    <xf numFmtId="0" fontId="22" fillId="12" borderId="16" xfId="0" applyFont="1" applyFill="1" applyBorder="1" applyAlignment="1">
      <alignment horizontal="left" wrapText="1"/>
    </xf>
    <xf numFmtId="1" fontId="17" fillId="3" borderId="16" xfId="0" applyNumberFormat="1" applyFont="1" applyFill="1" applyBorder="1" applyAlignment="1">
      <alignment vertical="center"/>
    </xf>
    <xf numFmtId="0" fontId="17" fillId="0" borderId="5" xfId="0" applyFont="1" applyBorder="1" applyAlignment="1">
      <alignment vertical="center"/>
    </xf>
    <xf numFmtId="0" fontId="17" fillId="0" borderId="5" xfId="0" applyFont="1" applyBorder="1" applyAlignment="1">
      <alignment vertical="center" wrapText="1"/>
    </xf>
    <xf numFmtId="3" fontId="17" fillId="0" borderId="5" xfId="0" applyNumberFormat="1" applyFont="1" applyBorder="1"/>
    <xf numFmtId="164" fontId="17" fillId="0" borderId="5" xfId="0" applyNumberFormat="1" applyFont="1" applyBorder="1" applyAlignment="1">
      <alignment wrapText="1"/>
    </xf>
    <xf numFmtId="0" fontId="17" fillId="12" borderId="16" xfId="0" applyFont="1" applyFill="1" applyBorder="1" applyAlignment="1">
      <alignment horizontal="center"/>
    </xf>
    <xf numFmtId="164" fontId="17" fillId="10" borderId="16" xfId="0" applyNumberFormat="1" applyFont="1" applyFill="1" applyBorder="1" applyAlignment="1">
      <alignment wrapText="1"/>
    </xf>
    <xf numFmtId="164" fontId="21" fillId="10" borderId="16" xfId="0" applyNumberFormat="1" applyFont="1" applyFill="1" applyBorder="1" applyAlignment="1">
      <alignment wrapText="1"/>
    </xf>
    <xf numFmtId="164" fontId="42" fillId="10" borderId="16" xfId="0" applyNumberFormat="1" applyFont="1" applyFill="1" applyBorder="1" applyAlignment="1">
      <alignment wrapText="1"/>
    </xf>
    <xf numFmtId="3" fontId="21" fillId="10" borderId="16" xfId="0" applyNumberFormat="1" applyFont="1" applyFill="1" applyBorder="1" applyAlignment="1">
      <alignment wrapText="1"/>
    </xf>
    <xf numFmtId="3" fontId="21" fillId="10" borderId="16" xfId="0" applyNumberFormat="1" applyFont="1" applyFill="1" applyBorder="1"/>
    <xf numFmtId="0" fontId="22" fillId="12" borderId="16" xfId="0" applyFont="1" applyFill="1" applyBorder="1" applyAlignment="1">
      <alignment horizontal="left"/>
    </xf>
    <xf numFmtId="188" fontId="22" fillId="10" borderId="16" xfId="0" applyNumberFormat="1" applyFont="1" applyFill="1" applyBorder="1" applyAlignment="1">
      <alignment wrapText="1"/>
    </xf>
    <xf numFmtId="188" fontId="42" fillId="10" borderId="16" xfId="0" applyNumberFormat="1" applyFont="1" applyFill="1" applyBorder="1" applyAlignment="1">
      <alignment wrapText="1"/>
    </xf>
    <xf numFmtId="164" fontId="22" fillId="10" borderId="16" xfId="0" applyNumberFormat="1" applyFont="1" applyFill="1" applyBorder="1" applyAlignment="1">
      <alignment wrapText="1"/>
    </xf>
    <xf numFmtId="0" fontId="43" fillId="9" borderId="16" xfId="0" applyFont="1" applyFill="1" applyBorder="1" applyAlignment="1">
      <alignment vertical="top"/>
    </xf>
    <xf numFmtId="168" fontId="43" fillId="9" borderId="16" xfId="0" applyNumberFormat="1" applyFont="1" applyFill="1" applyBorder="1" applyAlignment="1">
      <alignment vertical="top"/>
    </xf>
    <xf numFmtId="0" fontId="22" fillId="24" borderId="16" xfId="0" applyFont="1" applyFill="1" applyBorder="1" applyAlignment="1">
      <alignment horizontal="left"/>
    </xf>
    <xf numFmtId="3" fontId="17" fillId="7" borderId="16" xfId="0" applyNumberFormat="1" applyFont="1" applyFill="1" applyBorder="1"/>
    <xf numFmtId="0" fontId="42" fillId="12" borderId="16" xfId="0" applyFont="1" applyFill="1" applyBorder="1"/>
    <xf numFmtId="4" fontId="21" fillId="10" borderId="16" xfId="0" applyNumberFormat="1" applyFont="1" applyFill="1" applyBorder="1"/>
    <xf numFmtId="4" fontId="17" fillId="14" borderId="16" xfId="0" applyNumberFormat="1" applyFont="1" applyFill="1" applyBorder="1"/>
    <xf numFmtId="0" fontId="22" fillId="14" borderId="16" xfId="0" applyFont="1" applyFill="1" applyBorder="1"/>
    <xf numFmtId="9" fontId="44" fillId="0" borderId="29" xfId="0" applyNumberFormat="1" applyFont="1" applyBorder="1"/>
    <xf numFmtId="0" fontId="21" fillId="14" borderId="16" xfId="0" applyFont="1" applyFill="1" applyBorder="1"/>
    <xf numFmtId="0" fontId="53" fillId="12" borderId="16" xfId="0" applyFont="1" applyFill="1" applyBorder="1"/>
    <xf numFmtId="0" fontId="24" fillId="12" borderId="16" xfId="0" applyFont="1" applyFill="1" applyBorder="1"/>
    <xf numFmtId="0" fontId="24" fillId="14" borderId="16" xfId="0" applyFont="1" applyFill="1" applyBorder="1"/>
    <xf numFmtId="0" fontId="24" fillId="0" borderId="5" xfId="0" applyFont="1" applyBorder="1"/>
    <xf numFmtId="0" fontId="24" fillId="0" borderId="30" xfId="0" applyFont="1" applyBorder="1"/>
    <xf numFmtId="0" fontId="29" fillId="10" borderId="16" xfId="0" applyFont="1" applyFill="1" applyBorder="1"/>
    <xf numFmtId="0" fontId="24" fillId="0" borderId="30" xfId="0" applyFont="1" applyBorder="1" applyAlignment="1">
      <alignment horizontal="center"/>
    </xf>
    <xf numFmtId="0" fontId="53" fillId="0" borderId="5" xfId="0" applyFont="1" applyBorder="1"/>
    <xf numFmtId="0" fontId="53" fillId="0" borderId="30" xfId="0" applyFont="1" applyBorder="1"/>
    <xf numFmtId="0" fontId="54" fillId="0" borderId="30" xfId="0" applyFont="1" applyBorder="1"/>
    <xf numFmtId="4" fontId="55" fillId="7" borderId="16" xfId="0" applyNumberFormat="1" applyFont="1" applyFill="1" applyBorder="1"/>
    <xf numFmtId="4" fontId="55" fillId="27" borderId="16" xfId="0" applyNumberFormat="1" applyFont="1" applyFill="1" applyBorder="1"/>
    <xf numFmtId="4" fontId="55" fillId="28" borderId="16" xfId="0" applyNumberFormat="1" applyFont="1" applyFill="1" applyBorder="1"/>
    <xf numFmtId="4" fontId="55" fillId="29" borderId="16" xfId="0" applyNumberFormat="1" applyFont="1" applyFill="1" applyBorder="1"/>
    <xf numFmtId="0" fontId="12" fillId="7" borderId="16" xfId="0" applyFont="1" applyFill="1" applyBorder="1"/>
    <xf numFmtId="4" fontId="12" fillId="7" borderId="16" xfId="0" applyNumberFormat="1" applyFont="1" applyFill="1" applyBorder="1"/>
    <xf numFmtId="4" fontId="55" fillId="10" borderId="16" xfId="0" applyNumberFormat="1" applyFont="1" applyFill="1" applyBorder="1"/>
    <xf numFmtId="4" fontId="55" fillId="26" borderId="16" xfId="0" applyNumberFormat="1" applyFont="1" applyFill="1" applyBorder="1"/>
    <xf numFmtId="4" fontId="55" fillId="23" borderId="16" xfId="0" applyNumberFormat="1" applyFont="1" applyFill="1" applyBorder="1"/>
    <xf numFmtId="4" fontId="3" fillId="0" borderId="16" xfId="1" applyNumberFormat="1"/>
    <xf numFmtId="0" fontId="3" fillId="0" borderId="31" xfId="1" applyBorder="1" applyAlignment="1">
      <alignment horizontal="center" vertical="center"/>
    </xf>
    <xf numFmtId="4" fontId="3" fillId="0" borderId="31" xfId="1" applyNumberFormat="1" applyBorder="1" applyAlignment="1">
      <alignment horizontal="center" vertical="center"/>
    </xf>
    <xf numFmtId="3" fontId="3" fillId="0" borderId="31" xfId="1" applyNumberFormat="1" applyBorder="1" applyAlignment="1">
      <alignment horizontal="center" vertical="center"/>
    </xf>
    <xf numFmtId="3" fontId="59" fillId="0" borderId="31" xfId="1" applyNumberFormat="1" applyFont="1" applyBorder="1" applyAlignment="1">
      <alignment horizontal="center" vertical="center"/>
    </xf>
    <xf numFmtId="3" fontId="3" fillId="0" borderId="31" xfId="1" applyNumberFormat="1" applyBorder="1" applyAlignment="1">
      <alignment horizontal="center"/>
    </xf>
    <xf numFmtId="0" fontId="75" fillId="0" borderId="16" xfId="7" applyFont="1" applyAlignment="1">
      <alignment horizontal="center" vertical="center"/>
    </xf>
    <xf numFmtId="0" fontId="76" fillId="36" borderId="31" xfId="7" applyFont="1" applyFill="1" applyBorder="1" applyAlignment="1">
      <alignment vertical="top"/>
    </xf>
    <xf numFmtId="0" fontId="77" fillId="36" borderId="31" xfId="7" applyFont="1" applyFill="1" applyBorder="1" applyAlignment="1">
      <alignment horizontal="center"/>
    </xf>
    <xf numFmtId="4" fontId="75" fillId="0" borderId="31" xfId="7" applyNumberFormat="1" applyFont="1" applyBorder="1"/>
    <xf numFmtId="0" fontId="76" fillId="40" borderId="31" xfId="7" applyFont="1" applyFill="1" applyBorder="1" applyAlignment="1">
      <alignment horizontal="right" vertical="top" wrapText="1"/>
    </xf>
    <xf numFmtId="4" fontId="76" fillId="40" borderId="31" xfId="7" applyNumberFormat="1" applyFont="1" applyFill="1" applyBorder="1" applyAlignment="1">
      <alignment horizontal="right" vertical="top" wrapText="1"/>
    </xf>
    <xf numFmtId="0" fontId="75" fillId="0" borderId="16" xfId="7" applyFont="1"/>
    <xf numFmtId="0" fontId="76" fillId="36" borderId="31" xfId="7" applyFont="1" applyFill="1" applyBorder="1" applyAlignment="1">
      <alignment horizontal="center" vertical="top"/>
    </xf>
    <xf numFmtId="0" fontId="76" fillId="40" borderId="31" xfId="7" applyFont="1" applyFill="1" applyBorder="1" applyAlignment="1">
      <alignment vertical="top"/>
    </xf>
    <xf numFmtId="0" fontId="76" fillId="40" borderId="31" xfId="7" applyFont="1" applyFill="1" applyBorder="1" applyAlignment="1">
      <alignment horizontal="center" vertical="top"/>
    </xf>
    <xf numFmtId="0" fontId="78" fillId="36" borderId="31" xfId="7" applyFont="1" applyFill="1" applyBorder="1" applyAlignment="1">
      <alignment horizontal="left" vertical="top"/>
    </xf>
    <xf numFmtId="0" fontId="78" fillId="36" borderId="31" xfId="7" applyFont="1" applyFill="1" applyBorder="1" applyAlignment="1">
      <alignment horizontal="center" vertical="top"/>
    </xf>
    <xf numFmtId="4" fontId="76" fillId="36" borderId="31" xfId="7" applyNumberFormat="1" applyFont="1" applyFill="1" applyBorder="1" applyAlignment="1">
      <alignment horizontal="right" vertical="top" wrapText="1"/>
    </xf>
    <xf numFmtId="0" fontId="75" fillId="0" borderId="16" xfId="7" applyFont="1" applyAlignment="1">
      <alignment horizontal="center"/>
    </xf>
    <xf numFmtId="0" fontId="76" fillId="31" borderId="31" xfId="7" applyFont="1" applyFill="1" applyBorder="1" applyAlignment="1">
      <alignment vertical="top"/>
    </xf>
    <xf numFmtId="0" fontId="6" fillId="41" borderId="37" xfId="0" applyFont="1" applyFill="1" applyBorder="1"/>
    <xf numFmtId="0" fontId="81" fillId="0" borderId="31" xfId="0" applyFont="1" applyBorder="1" applyAlignment="1" applyProtection="1">
      <alignment wrapText="1"/>
      <protection locked="0"/>
    </xf>
    <xf numFmtId="0" fontId="1" fillId="0" borderId="31" xfId="0" applyFont="1" applyBorder="1" applyAlignment="1">
      <alignment horizontal="center"/>
    </xf>
    <xf numFmtId="0" fontId="1" fillId="0" borderId="31" xfId="1" applyFont="1" applyBorder="1"/>
    <xf numFmtId="1" fontId="1" fillId="0" borderId="31" xfId="2" applyNumberFormat="1" applyFont="1" applyBorder="1" applyAlignment="1">
      <alignment vertical="top" wrapText="1"/>
    </xf>
    <xf numFmtId="1" fontId="1" fillId="36" borderId="31" xfId="2" applyNumberFormat="1" applyFont="1" applyFill="1" applyBorder="1" applyAlignment="1">
      <alignment vertical="top" wrapText="1"/>
    </xf>
    <xf numFmtId="0" fontId="82" fillId="42" borderId="1" xfId="1" applyFont="1" applyFill="1" applyBorder="1" applyAlignment="1">
      <alignment horizontal="center" vertical="center" wrapText="1"/>
    </xf>
    <xf numFmtId="0" fontId="3" fillId="0" borderId="1" xfId="1" applyBorder="1" applyAlignment="1">
      <alignment horizontal="center"/>
    </xf>
    <xf numFmtId="0" fontId="3" fillId="0" borderId="1" xfId="1" applyBorder="1" applyAlignment="1">
      <alignment horizontal="center" wrapText="1"/>
    </xf>
    <xf numFmtId="0" fontId="3" fillId="0" borderId="1" xfId="1" applyBorder="1" applyAlignment="1">
      <alignment horizontal="center" vertical="center" wrapText="1"/>
    </xf>
    <xf numFmtId="0" fontId="0" fillId="0" borderId="1" xfId="1" applyFont="1" applyBorder="1" applyAlignment="1">
      <alignment horizontal="center" wrapText="1"/>
    </xf>
    <xf numFmtId="0" fontId="3" fillId="0" borderId="41" xfId="1" applyBorder="1"/>
    <xf numFmtId="3" fontId="3" fillId="0" borderId="41" xfId="1" applyNumberFormat="1" applyBorder="1" applyAlignment="1">
      <alignment horizontal="center" vertical="center"/>
    </xf>
    <xf numFmtId="0" fontId="3" fillId="0" borderId="41" xfId="1" applyBorder="1" applyAlignment="1">
      <alignment horizontal="center" vertical="center"/>
    </xf>
    <xf numFmtId="4" fontId="3" fillId="0" borderId="41" xfId="1" applyNumberFormat="1" applyBorder="1" applyAlignment="1">
      <alignment horizontal="center" vertical="center"/>
    </xf>
    <xf numFmtId="0" fontId="3" fillId="0" borderId="17" xfId="1" applyBorder="1"/>
    <xf numFmtId="0" fontId="3" fillId="0" borderId="34" xfId="1" applyBorder="1"/>
    <xf numFmtId="3" fontId="3" fillId="0" borderId="34" xfId="1" applyNumberFormat="1" applyBorder="1" applyAlignment="1">
      <alignment horizontal="center" vertical="center"/>
    </xf>
    <xf numFmtId="0" fontId="3" fillId="0" borderId="34" xfId="1" applyBorder="1" applyAlignment="1">
      <alignment horizontal="center" vertical="center"/>
    </xf>
    <xf numFmtId="4" fontId="3" fillId="0" borderId="34" xfId="1" applyNumberFormat="1" applyBorder="1" applyAlignment="1">
      <alignment horizontal="center" vertical="center"/>
    </xf>
    <xf numFmtId="0" fontId="3" fillId="0" borderId="5" xfId="1" applyBorder="1" applyAlignment="1">
      <alignment horizontal="center"/>
    </xf>
    <xf numFmtId="0" fontId="74" fillId="36" borderId="42" xfId="7" applyFont="1" applyFill="1" applyBorder="1" applyAlignment="1">
      <alignment horizontal="center" vertical="center"/>
    </xf>
    <xf numFmtId="0" fontId="74" fillId="39" borderId="42" xfId="7" applyFont="1" applyFill="1" applyBorder="1" applyAlignment="1">
      <alignment horizontal="center" vertical="center" wrapText="1"/>
    </xf>
    <xf numFmtId="0" fontId="74" fillId="36" borderId="42" xfId="7" applyFont="1" applyFill="1" applyBorder="1" applyAlignment="1">
      <alignment horizontal="center" vertical="center" wrapText="1"/>
    </xf>
    <xf numFmtId="0" fontId="83" fillId="0" borderId="0" xfId="0" applyFont="1"/>
    <xf numFmtId="0" fontId="80" fillId="37" borderId="40" xfId="0" applyFont="1" applyFill="1" applyBorder="1" applyAlignment="1" applyProtection="1">
      <alignment horizontal="center" vertical="center" wrapText="1"/>
      <protection locked="0"/>
    </xf>
    <xf numFmtId="0" fontId="80" fillId="37" borderId="39" xfId="0" applyFont="1" applyFill="1" applyBorder="1" applyAlignment="1" applyProtection="1">
      <alignment horizontal="center" vertical="center" wrapText="1"/>
      <protection locked="0"/>
    </xf>
    <xf numFmtId="0" fontId="80" fillId="37" borderId="34" xfId="0" applyFont="1" applyFill="1" applyBorder="1" applyAlignment="1" applyProtection="1">
      <alignment horizontal="center" vertical="center" wrapText="1"/>
      <protection locked="0"/>
    </xf>
    <xf numFmtId="0" fontId="80" fillId="37" borderId="31" xfId="0" applyFont="1" applyFill="1" applyBorder="1" applyAlignment="1" applyProtection="1">
      <alignment horizontal="center" vertical="center" wrapText="1"/>
      <protection locked="0"/>
    </xf>
    <xf numFmtId="0" fontId="13" fillId="0" borderId="6" xfId="0" applyFont="1" applyBorder="1" applyAlignment="1">
      <alignment horizontal="center" vertical="center" wrapText="1"/>
    </xf>
    <xf numFmtId="0" fontId="15" fillId="0" borderId="6" xfId="0" applyFont="1" applyBorder="1" applyAlignment="1"/>
    <xf numFmtId="0" fontId="15" fillId="0" borderId="3" xfId="0" applyFont="1" applyBorder="1" applyAlignment="1"/>
    <xf numFmtId="0" fontId="12" fillId="0" borderId="6" xfId="0" applyFont="1" applyBorder="1" applyAlignment="1">
      <alignment horizontal="center" vertical="center" wrapText="1"/>
    </xf>
    <xf numFmtId="0" fontId="13" fillId="0" borderId="6" xfId="0" applyFont="1" applyBorder="1" applyAlignment="1">
      <alignment horizontal="center" vertical="center"/>
    </xf>
    <xf numFmtId="0" fontId="12" fillId="0" borderId="6" xfId="0" applyFont="1" applyBorder="1" applyAlignment="1">
      <alignment horizontal="center" vertical="center"/>
    </xf>
    <xf numFmtId="0" fontId="13" fillId="0" borderId="7" xfId="0" applyFont="1" applyBorder="1" applyAlignment="1">
      <alignment horizontal="center" vertical="center" wrapText="1"/>
    </xf>
    <xf numFmtId="0" fontId="25" fillId="0" borderId="8" xfId="0" applyFont="1" applyBorder="1" applyAlignment="1">
      <alignment horizontal="center"/>
    </xf>
    <xf numFmtId="0" fontId="15" fillId="0" borderId="13" xfId="0" applyFont="1" applyBorder="1" applyAlignment="1"/>
    <xf numFmtId="0" fontId="15" fillId="0" borderId="29" xfId="0" applyFont="1" applyBorder="1" applyAlignment="1"/>
    <xf numFmtId="1" fontId="13" fillId="6" borderId="16" xfId="0" applyNumberFormat="1" applyFont="1" applyFill="1" applyBorder="1" applyAlignment="1">
      <alignment horizontal="left" vertical="top" wrapText="1"/>
    </xf>
    <xf numFmtId="0" fontId="15" fillId="0" borderId="16" xfId="0" applyFont="1" applyBorder="1" applyAlignment="1"/>
    <xf numFmtId="0" fontId="15" fillId="0" borderId="19" xfId="0" applyFont="1" applyBorder="1" applyAlignment="1"/>
    <xf numFmtId="0" fontId="13" fillId="6" borderId="16" xfId="0" applyFont="1" applyFill="1" applyBorder="1" applyAlignment="1">
      <alignment horizontal="center"/>
    </xf>
    <xf numFmtId="1" fontId="13" fillId="6" borderId="16" xfId="0" applyNumberFormat="1" applyFont="1" applyFill="1" applyBorder="1" applyAlignment="1">
      <alignment horizontal="center" vertical="top" wrapText="1"/>
    </xf>
    <xf numFmtId="1" fontId="13" fillId="6" borderId="16" xfId="0" applyNumberFormat="1" applyFont="1" applyFill="1" applyBorder="1" applyAlignment="1">
      <alignment horizontal="center" wrapText="1"/>
    </xf>
    <xf numFmtId="0" fontId="13" fillId="6" borderId="17" xfId="0" applyFont="1" applyFill="1" applyBorder="1" applyAlignment="1">
      <alignment horizontal="left" vertical="center"/>
    </xf>
    <xf numFmtId="0" fontId="15" fillId="0" borderId="17" xfId="0" applyFont="1" applyBorder="1" applyAlignment="1"/>
    <xf numFmtId="0" fontId="13" fillId="6" borderId="8" xfId="0" applyFont="1" applyFill="1" applyBorder="1" applyAlignment="1">
      <alignment horizontal="center" vertical="center"/>
    </xf>
    <xf numFmtId="0" fontId="13" fillId="6" borderId="8" xfId="0" applyFont="1" applyFill="1" applyBorder="1" applyAlignment="1">
      <alignment horizontal="center" vertical="top"/>
    </xf>
    <xf numFmtId="0" fontId="28" fillId="0" borderId="9" xfId="0" applyFont="1" applyBorder="1" applyAlignment="1">
      <alignment horizontal="center" vertical="center" wrapText="1"/>
    </xf>
    <xf numFmtId="0" fontId="15" fillId="0" borderId="10" xfId="0" applyFont="1" applyBorder="1" applyAlignment="1"/>
    <xf numFmtId="0" fontId="15" fillId="0" borderId="15" xfId="0" applyFont="1" applyBorder="1" applyAlignment="1"/>
    <xf numFmtId="0" fontId="15" fillId="0" borderId="11" xfId="0" applyFont="1" applyBorder="1" applyAlignment="1"/>
    <xf numFmtId="0" fontId="15" fillId="0" borderId="30" xfId="0" applyFont="1" applyBorder="1" applyAlignment="1"/>
    <xf numFmtId="4" fontId="12" fillId="0" borderId="15" xfId="0" applyNumberFormat="1" applyFont="1" applyBorder="1" applyAlignment="1">
      <alignment wrapText="1"/>
    </xf>
    <xf numFmtId="0" fontId="0" fillId="0" borderId="0" xfId="0" applyAlignment="1"/>
    <xf numFmtId="0" fontId="13" fillId="6" borderId="8" xfId="0" applyFont="1" applyFill="1" applyBorder="1" applyAlignment="1">
      <alignment horizontal="center" vertical="top" wrapText="1"/>
    </xf>
    <xf numFmtId="0" fontId="28" fillId="0" borderId="8" xfId="0" applyFont="1" applyBorder="1" applyAlignment="1">
      <alignment horizontal="center" vertical="top" wrapText="1"/>
    </xf>
    <xf numFmtId="0" fontId="31" fillId="0" borderId="9" xfId="0" applyFont="1" applyBorder="1" applyAlignment="1">
      <alignment horizontal="center" vertical="center"/>
    </xf>
    <xf numFmtId="1" fontId="13" fillId="15" borderId="16" xfId="0" applyNumberFormat="1" applyFont="1" applyFill="1" applyBorder="1" applyAlignment="1">
      <alignment horizontal="center" wrapText="1"/>
    </xf>
    <xf numFmtId="0" fontId="12" fillId="0" borderId="15" xfId="0" applyFont="1" applyBorder="1" applyAlignment="1">
      <alignment horizontal="center" wrapText="1"/>
    </xf>
    <xf numFmtId="0" fontId="12" fillId="6" borderId="8" xfId="0" applyFont="1" applyFill="1" applyBorder="1" applyAlignment="1">
      <alignment horizontal="center" vertical="top" wrapText="1"/>
    </xf>
    <xf numFmtId="0" fontId="12" fillId="6" borderId="16" xfId="0" applyFont="1" applyFill="1" applyBorder="1" applyAlignment="1">
      <alignment horizontal="center"/>
    </xf>
    <xf numFmtId="0" fontId="13" fillId="6" borderId="17" xfId="0" applyFont="1" applyFill="1" applyBorder="1" applyAlignment="1">
      <alignment horizontal="center"/>
    </xf>
    <xf numFmtId="1" fontId="13" fillId="6" borderId="16" xfId="0" applyNumberFormat="1" applyFont="1" applyFill="1" applyBorder="1" applyAlignment="1">
      <alignment horizontal="left" vertical="center"/>
    </xf>
    <xf numFmtId="0" fontId="13" fillId="6" borderId="8" xfId="0" applyFont="1" applyFill="1" applyBorder="1" applyAlignment="1">
      <alignment horizontal="left" vertical="center"/>
    </xf>
    <xf numFmtId="0" fontId="13" fillId="6" borderId="15" xfId="0" applyFont="1" applyFill="1" applyBorder="1" applyAlignment="1">
      <alignment horizontal="left" vertical="center"/>
    </xf>
    <xf numFmtId="0" fontId="13" fillId="0" borderId="2" xfId="0" applyFont="1" applyBorder="1" applyAlignment="1">
      <alignment horizontal="center" vertical="center" wrapText="1"/>
    </xf>
    <xf numFmtId="0" fontId="15" fillId="0" borderId="5" xfId="0" applyFont="1" applyBorder="1" applyAlignment="1"/>
    <xf numFmtId="0" fontId="13" fillId="6" borderId="16" xfId="0" applyFont="1" applyFill="1" applyBorder="1" applyAlignment="1">
      <alignment horizontal="left" vertical="center"/>
    </xf>
    <xf numFmtId="0" fontId="60" fillId="0" borderId="31" xfId="2" applyBorder="1" applyAlignment="1">
      <alignment horizontal="left" vertical="top" wrapText="1"/>
    </xf>
    <xf numFmtId="0" fontId="60" fillId="0" borderId="32" xfId="2" applyBorder="1" applyAlignment="1">
      <alignment horizontal="left" vertical="top" wrapText="1"/>
    </xf>
    <xf numFmtId="0" fontId="61" fillId="30" borderId="40" xfId="2" applyFont="1" applyFill="1" applyBorder="1" applyAlignment="1">
      <alignment horizontal="center" vertical="center" wrapText="1"/>
    </xf>
    <xf numFmtId="0" fontId="61" fillId="30" borderId="34" xfId="2" applyFont="1" applyFill="1" applyBorder="1" applyAlignment="1">
      <alignment horizontal="center" vertical="center" wrapText="1"/>
    </xf>
    <xf numFmtId="0" fontId="58" fillId="30" borderId="31" xfId="2" applyFont="1" applyFill="1" applyBorder="1" applyAlignment="1">
      <alignment horizontal="center" vertical="center" wrapText="1"/>
    </xf>
    <xf numFmtId="0" fontId="58" fillId="30" borderId="36" xfId="2" applyFont="1" applyFill="1" applyBorder="1" applyAlignment="1">
      <alignment horizontal="center" vertical="center" wrapText="1"/>
    </xf>
    <xf numFmtId="0" fontId="58" fillId="30" borderId="38" xfId="2" applyFont="1" applyFill="1" applyBorder="1" applyAlignment="1">
      <alignment horizontal="center" vertical="center" wrapText="1"/>
    </xf>
    <xf numFmtId="0" fontId="64" fillId="32" borderId="32" xfId="3" applyFont="1" applyFill="1" applyBorder="1" applyAlignment="1">
      <alignment vertical="top" wrapText="1"/>
    </xf>
    <xf numFmtId="0" fontId="60" fillId="32" borderId="33" xfId="2" applyFill="1" applyBorder="1" applyAlignment="1">
      <alignment vertical="top" wrapText="1"/>
    </xf>
    <xf numFmtId="0" fontId="60" fillId="0" borderId="32" xfId="2" applyBorder="1" applyAlignment="1">
      <alignment horizontal="center"/>
    </xf>
    <xf numFmtId="0" fontId="60" fillId="0" borderId="43" xfId="2" applyBorder="1" applyAlignment="1">
      <alignment horizontal="center"/>
    </xf>
    <xf numFmtId="0" fontId="60" fillId="0" borderId="33" xfId="2" applyBorder="1" applyAlignment="1">
      <alignment horizontal="center"/>
    </xf>
    <xf numFmtId="0" fontId="60" fillId="0" borderId="35" xfId="2" applyBorder="1" applyAlignment="1">
      <alignment horizontal="center"/>
    </xf>
    <xf numFmtId="0" fontId="60" fillId="0" borderId="16" xfId="2" applyAlignment="1">
      <alignment horizontal="center"/>
    </xf>
    <xf numFmtId="0" fontId="61" fillId="32" borderId="31" xfId="2" applyFont="1" applyFill="1" applyBorder="1" applyAlignment="1">
      <alignment horizontal="center" vertical="top" wrapText="1"/>
    </xf>
    <xf numFmtId="0" fontId="61" fillId="32" borderId="40" xfId="2" applyFont="1" applyFill="1" applyBorder="1" applyAlignment="1">
      <alignment horizontal="center" vertical="top" wrapText="1"/>
    </xf>
    <xf numFmtId="0" fontId="62" fillId="32" borderId="34" xfId="2" applyFont="1" applyFill="1" applyBorder="1" applyAlignment="1">
      <alignment horizontal="center" vertical="top" wrapText="1"/>
    </xf>
    <xf numFmtId="0" fontId="61" fillId="30" borderId="44" xfId="2" applyFont="1" applyFill="1" applyBorder="1" applyAlignment="1">
      <alignment horizontal="center" vertical="center" wrapText="1"/>
    </xf>
    <xf numFmtId="0" fontId="61" fillId="30" borderId="45" xfId="2" applyFont="1" applyFill="1" applyBorder="1" applyAlignment="1">
      <alignment horizontal="center" vertical="center" wrapText="1"/>
    </xf>
    <xf numFmtId="0" fontId="61" fillId="30" borderId="36" xfId="2" applyFont="1" applyFill="1" applyBorder="1" applyAlignment="1">
      <alignment horizontal="center" vertical="center" wrapText="1"/>
    </xf>
    <xf numFmtId="0" fontId="61" fillId="30" borderId="37" xfId="2" applyFont="1" applyFill="1" applyBorder="1" applyAlignment="1">
      <alignment horizontal="center" vertical="center" wrapText="1"/>
    </xf>
  </cellXfs>
  <cellStyles count="9">
    <cellStyle name="Hyperlink" xfId="8"/>
    <cellStyle name="Відсотковий 2" xfId="5"/>
    <cellStyle name="Звичайний" xfId="0" builtinId="0"/>
    <cellStyle name="Звичайний 2" xfId="1"/>
    <cellStyle name="Звичайний 3" xfId="2"/>
    <cellStyle name="Звичайний_Аркуш1" xfId="4"/>
    <cellStyle name="Обычный 2" xfId="3"/>
    <cellStyle name="Обычный 3" xfId="6"/>
    <cellStyle name="Обычный 4" xfId="7"/>
  </cellStyles>
  <dxfs count="48">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microsoft.com/office/2017/06/relationships/rdRichValue" Target="richData/rdrichvalue.xml"/><Relationship Id="rId21" Type="http://schemas.openxmlformats.org/officeDocument/2006/relationships/externalLink" Target="externalLinks/externalLink1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tyles" Target="styles.xml"/><Relationship Id="rId38" Type="http://schemas.microsoft.com/office/2017/06/relationships/rdRichValueTypes" Target="richData/rdRichValueTyp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theme" Target="theme/theme1.xml"/><Relationship Id="rId37" Type="http://schemas.microsoft.com/office/2017/06/relationships/rdRichValueStructure" Target="richData/rdrichvaluestructure.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sheetMetadata" Target="metadata.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IV"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OON\documents\DF\Finance\2021_GF\Budget_revisions\01_2021_May_PSM_Mismatch\UKR-C-AUN_HPMT_12Oct20.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HS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OON\documents\MOON\documents\My%20Documents\GLOBAL%20FUND%20MAIN\ROUND%207%20Application\Final%20Application\Tomsk%20Application%20Main%20documents%20Part%2003\Budget_Tomsk_Final.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Malaria"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Data%20Entry"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Pharma%20CI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OON\documents\Users\e.shyrokova\Downloads\LoHP\HPMT%202020_Multi_Version%2010.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T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OON\documents\Server5\New%20Shared%20Files\Program\Field%20Programs\North-West\Personal%20Folders\Basenko\Substitution%20Therapy\OST%20hotline\&#1047;&#1072;&#1103;&#1074;&#1082;&#1080;\&#1047;&#1072;&#1103;&#1074;&#1082;&#1072;_2015-2017\0%20Att4_Budget_workplan%202015-201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tgf-my.sharepoint.com/Users/n.marchuk/Desktop/Work/Projects%20Draft/GF%202021-2023/GF%20Response%20Sep%202020/6_FR853-UKR-C_DB_30Jun20_AUN%20onl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n.marchuk/Desktop/100%25LIFE/Projects/GF_2021-2023/IL3/UKR-C-AUN_DB_main%20grant_10Mar2022_final%20Upd%20Oct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OON\documents\SERVER5\Users1\3ED30B28\MDA%20tb%20budgeting%20template%20v3%20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OON\documents\Users\mglowacz001\Desktop\projekt\Sprinty\xauthir\kp\analytic%20tab\Budget%20Analysis%20Tool%20-%20QPA-T-ECSA%20-%20sample%20(1).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efinition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OON\documents\Users\e.shyrokova\OneDrive%20-%20&#1042;&#1089;&#1077;&#1091;&#1082;&#1088;&#1072;&#1111;&#1085;&#1089;&#1100;&#1082;&#1072;%20&#1084;&#1077;&#1088;&#1077;&#1078;&#1072;\PSM\&#1041;&#1102;&#1076;&#1078;&#1077;&#1090;&#1080;_&#1055;&#1088;&#1086;&#1108;&#1082;&#1090;&#1080;\&#1043;&#1060;%202018-2020\LoHP\UKR-C-AUN_LoHP_final_v.8_Nov2-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OON\documents\DPiP\PSM\&#1041;&#1102;&#1076;&#1078;&#1077;&#1090;&#1080;_&#1055;&#1088;&#1086;&#1077;&#1082;&#1090;&#1080;\&#1043;&#1060;%202018-2020\LoHP\UKR-C-AUN_LoHP_v.3%2020.06.19_+savings%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6;&#1072;&#1073;&#1086;&#1090;&#1072;%20&#1042;&#1072;&#1088;&#1080;&#1074;&#1086;&#1076;&#1072;\&#1042;&#1072;&#1088;&#1080;&#1074;&#1086;&#1076;&#1072;\&#1043;&#1060;%20&#1047;&#1072;&#1103;&#1074;&#1082;&#1072;%20&#1085;&#1072;%202021-2023\HPlist%2019.06.2020.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ctiviti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V"/>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S_ESP"/>
      <sheetName val="DOCUMENTS_FRA"/>
      <sheetName val="DOCUMENTS_ENG"/>
      <sheetName val="SETUP"/>
      <sheetName val="SEARCH"/>
      <sheetName val="HIV-Key Info"/>
      <sheetName val="HIV-Pharmaceuticals"/>
      <sheetName val="HIV-Equipment"/>
      <sheetName val="HIV-Other HPs"/>
      <sheetName val="TB-Key Info"/>
      <sheetName val="TB-Pharmaceuticals"/>
      <sheetName val="TB-EQUIPMENT &amp; OTHER HPs"/>
      <sheetName val="Malaria-Key Info"/>
      <sheetName val="Malaria-Pharmaceuticals"/>
      <sheetName val="Malaria-Equipment &amp; Other HPs"/>
      <sheetName val="COVID"/>
      <sheetName val="HPM costs"/>
      <sheetName val="RSSH- HPM &amp;Lab System"/>
      <sheetName val="Detailed Budget"/>
      <sheetName val="PMsheet"/>
      <sheetName val="Language"/>
      <sheetName val="Grant"/>
      <sheetName val="Cost Input SB"/>
      <sheetName val="Mod Int SB"/>
      <sheetName val="Mod Int with HIV KP SB"/>
      <sheetName val="HIV Aggregation SB"/>
      <sheetName val="Population SB"/>
      <sheetName val="Blank Pivot"/>
      <sheetName val="HPM LIST"/>
      <sheetName val="LIST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кала SDA и др"/>
      <sheetName val="Main"/>
      <sheetName val="1.1.1"/>
      <sheetName val="1.1.2"/>
      <sheetName val="1.1.3"/>
      <sheetName val="1.1.4"/>
      <sheetName val="1.1.5"/>
      <sheetName val="1.1.6"/>
      <sheetName val="1.1.7"/>
      <sheetName val="1.2.1"/>
      <sheetName val="1.2.2"/>
      <sheetName val="1.2.3"/>
      <sheetName val="1.3.1"/>
      <sheetName val="1.3.2"/>
      <sheetName val="1.3.3"/>
      <sheetName val="1.4.1"/>
      <sheetName val="1.4.2"/>
      <sheetName val="1.4.3"/>
      <sheetName val="1.4.4"/>
      <sheetName val="1.5.1"/>
      <sheetName val="1.5.2"/>
      <sheetName val="1.6.1"/>
      <sheetName val="1.6.2"/>
      <sheetName val="1.6.3"/>
      <sheetName val="1.6.4"/>
      <sheetName val="1.6.5"/>
      <sheetName val="1.6.6"/>
      <sheetName val="1.6.7"/>
      <sheetName val="2.1.1"/>
      <sheetName val="2.1.2"/>
      <sheetName val="2.1.3"/>
      <sheetName val="2.1.4"/>
      <sheetName val="2.1.5"/>
      <sheetName val="2.1.6"/>
      <sheetName val="2.1.7"/>
      <sheetName val="2.2.1"/>
      <sheetName val="2.2.2"/>
      <sheetName val="2.2.3"/>
      <sheetName val="2.2.4"/>
      <sheetName val="2.3.1"/>
      <sheetName val="2.3.2"/>
      <sheetName val="2.3.3"/>
      <sheetName val="2.3.4"/>
      <sheetName val="2.4.1"/>
      <sheetName val="2.4.2"/>
      <sheetName val="2.4.3"/>
      <sheetName val="3.1.1"/>
      <sheetName val="3.1.2"/>
      <sheetName val="3.1.3"/>
      <sheetName val="3.1.4"/>
      <sheetName val="3.1.5"/>
      <sheetName val="3.1.6"/>
      <sheetName val="3.1.7"/>
      <sheetName val="3.2.1"/>
      <sheetName val="3.2.2"/>
      <sheetName val="3.2.3"/>
      <sheetName val="3.2.4"/>
      <sheetName val="3.2.5"/>
      <sheetName val="3.2.6"/>
      <sheetName val="3.3.1"/>
      <sheetName val="3.3.2"/>
      <sheetName val="3.3.3"/>
      <sheetName val="3.4.1"/>
      <sheetName val="3.4.2"/>
      <sheetName val="3.4.3"/>
      <sheetName val="3.4.4"/>
      <sheetName val="4.1.1"/>
      <sheetName val="4.1.2"/>
      <sheetName val="4.2"/>
      <sheetName val="4.3"/>
      <sheetName val="4.4"/>
      <sheetName val="шкала_SDA_и_др"/>
      <sheetName val="Definitions"/>
      <sheetName val="List"/>
      <sheetName val="Detailed assumptions"/>
      <sheetName val="Таблиця витрат"/>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aria"/>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Entry"/>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rma CIs"/>
      <sheetName val="CatInt"/>
      <sheetName val="Setup"/>
      <sheetName val="Cost Inputs"/>
      <sheetName val="CatCmp"/>
      <sheetName val="Detailed Budget"/>
      <sheetName val="CatProd"/>
      <sheetName val="Definitions"/>
      <sheetName val="ModInCmp"/>
      <sheetName val="Feuil1"/>
      <sheetName val="Codes "/>
      <sheetName val="Lists"/>
      <sheetName val="Pharma%20CIs"/>
      <sheetName val="asumsi"/>
      <sheetName val="Memo HIV"/>
      <sheetName val="CIs"/>
      <sheetName val="Assumptions"/>
      <sheetName val="Budget Lines"/>
      <sheetName val="Country"/>
      <sheetName val="Translations"/>
      <sheetName val="Currencies"/>
      <sheetName val="Recipient"/>
      <sheetName val="IRS FORMAT GF"/>
      <sheetName val="Apercu - Section A"/>
      <sheetName val="Data Sheet"/>
      <sheetName val="analysis"/>
      <sheetName val="Rate tables"/>
      <sheetName val="1 Res Hum"/>
      <sheetName val="Sheet1"/>
      <sheetName val="Budget Template"/>
      <sheetName val="2-Drugs"/>
      <sheetName val="Pharma_CIs"/>
      <sheetName val="LFA_Programmatic Progress_1B"/>
      <sheetName val="Pharma_CIs1"/>
      <sheetName val="Code"/>
      <sheetName val="Item cost"/>
      <sheetName val="SDA 1.1"/>
      <sheetName val="coa"/>
      <sheetName val="ImpactInCmp"/>
      <sheetName val="OutcomeInCmp"/>
      <sheetName val="Staffing Levels"/>
      <sheetName val="[Pharma CIs]__tgf_sharepoint_67"/>
      <sheetName val="data"/>
      <sheetName val="Detailed_Budget"/>
      <sheetName val="Cost_Inputs"/>
      <sheetName val="Codes_"/>
      <sheetName val="Apercu_-_Section_A"/>
      <sheetName val="Rate_tables"/>
      <sheetName val="1_Res_Hum"/>
      <sheetName val="Budget_Template"/>
      <sheetName val="Data_Sheet"/>
      <sheetName val="INSTRUCTION"/>
      <sheetName val="O. PTB IMA"/>
      <sheetName val="1. REQUETE DES FONDS"/>
      <sheetName val="ACCUSE DE RECEPTION"/>
      <sheetName val="2. SUIVI FINANCIER"/>
      <sheetName val="3. JOURNAL DES DEPENSES"/>
      <sheetName val="4. SUIVI BUDGETAIRE"/>
      <sheetName val="5. EFR MALARIA"/>
      <sheetName val="6.0 RESOURCES EMPLOIS"/>
      <sheetName val="6.1RESSOURCES EMPLOIS CUMULES"/>
      <sheetName val="7.0 DETAILS DES AVANCES"/>
      <sheetName val="7.1 AVANCES AGEES"/>
      <sheetName val="8.DETAILS DES ENGAGEMENTS Cptbl"/>
      <sheetName val="8.DETAILS DES ENGAG. non cptbls"/>
      <sheetName val="9.DETAILS DES OBLIGATIONS"/>
      <sheetName val="10.RECONCILIATION BANCAIRE"/>
      <sheetName val="11.PV DE CAISSE"/>
      <sheetName val="12.INVENTAIRE DES ASSETS"/>
      <sheetName val="excelupload T"/>
      <sheetName val="GJ T"/>
      <sheetName val="excelupload-LC"/>
      <sheetName val="Account Code"/>
      <sheetName val="T4 Codes"/>
      <sheetName val="T7 Codes"/>
      <sheetName val="Sheet3"/>
      <sheetName val="T0T2"/>
      <sheetName val="Pharma_CIs3"/>
      <sheetName val="Detailed_Budget2"/>
      <sheetName val="Cost_Inputs2"/>
      <sheetName val="Codes_2"/>
      <sheetName val="Apercu_-_Section_A2"/>
      <sheetName val="Pharma_CIs2"/>
      <sheetName val="Detailed_Budget1"/>
      <sheetName val="Cost_Inputs1"/>
      <sheetName val="Codes_1"/>
      <sheetName val="Apercu_-_Section_A1"/>
      <sheetName val="Pharma_CIs4"/>
      <sheetName val="Detailed_Budget3"/>
      <sheetName val="Cost_Inputs3"/>
      <sheetName val="Codes_3"/>
      <sheetName val="Apercu_-_Section_A3"/>
      <sheetName val="Summary"/>
      <sheetName val="range page"/>
      <sheetName val="Busgetisation_feuille_revision "/>
      <sheetName val="OB2"/>
      <sheetName val="OB5"/>
      <sheetName val="[Pharma CIs]__tgf_sharepoint_66"/>
      <sheetName val="4. National Staff"/>
      <sheetName val="Ficha de Recalendariz"/>
      <sheetName val="Original"/>
      <sheetName val="Detalle presupuestario "/>
      <sheetName val="Materialidad (2)"/>
      <sheetName val="PST Triggers - Budget"/>
      <sheetName val="LFA_Programmatic_Progress_1B"/>
      <sheetName val="Range_Page"/>
      <sheetName val="Budget_Lines"/>
      <sheetName val="IRS_FORMAT_GF"/>
      <sheetName val="Memo_HIV"/>
      <sheetName val="Item_cost"/>
      <sheetName val="Pharma_CIs5"/>
      <sheetName val="LFA_Programmatic_Progress_1B1"/>
      <sheetName val="Range_Page1"/>
      <sheetName val="Budget_Lines1"/>
      <sheetName val="IRS_FORMAT_GF1"/>
      <sheetName val="Memo_HIV1"/>
      <sheetName val="Budget_Template1"/>
      <sheetName val="Data_Sheet1"/>
      <sheetName val="Item_cost1"/>
      <sheetName val="to print for signing"/>
      <sheetName val="List"/>
      <sheetName val="Memo Malaria"/>
      <sheetName val="Pharma_CIs6"/>
      <sheetName val="Cost_Inputs4"/>
      <sheetName val="Detailed_Budget4"/>
      <sheetName val="Codes_4"/>
      <sheetName val="Apercu_-_Section_A4"/>
      <sheetName val="excelupload_T"/>
      <sheetName val="GJ_T"/>
      <sheetName val="Account_Code"/>
      <sheetName val="T4_Codes"/>
      <sheetName val="T7_Codes"/>
      <sheetName val="Non-Statistical Sampling Master"/>
      <sheetName val="Two Step Revenue Testing Master"/>
      <sheetName val="Global Data"/>
      <sheetName val="[Pharma CIs]__tgf_sharepoint__8"/>
      <sheetName val="[Pharma CIs]__tgf_sharepoint__4"/>
      <sheetName val="[Pharma CIs]__tgf_sharepoint__2"/>
      <sheetName val="[Pharma CIs]__tgf_sharepoint__3"/>
      <sheetName val="[Pharma CIs]__tgf_sharepoint__5"/>
      <sheetName val="[Pharma CIs]__tgf_sharepoint__6"/>
      <sheetName val="[Pharma CIs]__tgf_sharepoint__7"/>
      <sheetName val="[Pharma CIs]__tgf_sharepoint__9"/>
      <sheetName val="[Pharma CIs]__tgf_sharepoint_14"/>
      <sheetName val="[Pharma CIs]__tgf_sharepoint_10"/>
      <sheetName val="[Pharma CIs]__tgf_sharepoint_13"/>
      <sheetName val="[Pharma CIs]__tgf_sharepoint_11"/>
      <sheetName val="[Pharma CIs]__tgf_sharepoint_12"/>
      <sheetName val="[Pharma CIs]__tgf_sharepoint_30"/>
      <sheetName val="[Pharma CIs]__tgf_sharepoint_15"/>
      <sheetName val="[Pharma CIs]__tgf_sharepoint_16"/>
      <sheetName val="[Pharma CIs]__tgf_sharepoint_29"/>
      <sheetName val="[Pharma CIs]__tgf_sharepoint_24"/>
      <sheetName val="[Pharma CIs]__tgf_sharepoint_19"/>
      <sheetName val="[Pharma CIs]__tgf_sharepoint_17"/>
      <sheetName val="[Pharma CIs]__tgf_sharepoint_18"/>
      <sheetName val="[Pharma CIs]__tgf_sharepoint_20"/>
      <sheetName val="[Pharma CIs]__tgf_sharepoint_21"/>
      <sheetName val="[Pharma CIs]__tgf_sharepoint_22"/>
      <sheetName val="[Pharma CIs]__tgf_sharepoint_23"/>
      <sheetName val="[Pharma CIs]__tgf_sharepoint_26"/>
      <sheetName val="[Pharma CIs]__tgf_sharepoint_25"/>
      <sheetName val="[Pharma CIs]__tgf_sharepoint_28"/>
      <sheetName val="[Pharma CIs]__tgf_sharepoint_27"/>
      <sheetName val="[Pharma CIs]__tgf_sharepoint_32"/>
      <sheetName val="[Pharma CIs]__tgf_sharepoint_31"/>
      <sheetName val="[Pharma CIs]__tgf_sharepoint_33"/>
      <sheetName val="[Pharma CIs]__tgf_sharepoint_35"/>
      <sheetName val="[Pharma CIs]__tgf_sharepoint_34"/>
      <sheetName val="Budget résumé"/>
      <sheetName val="Annexe 1a_PTB_Caritas"/>
      <sheetName val="Annexe 6_Hypot activités"/>
      <sheetName val="Pharma_CIs7"/>
      <sheetName val="Pharma_CIs8"/>
      <sheetName val="Detailed_Budget5"/>
      <sheetName val="Cost_Inputs5"/>
      <sheetName val="Codes_5"/>
      <sheetName val="Apercu_-_Section_A5"/>
      <sheetName val="Rate_tables1"/>
      <sheetName val="1_Res_Hum1"/>
      <sheetName val="Budget_Template2"/>
      <sheetName val="Data_Sheet2"/>
      <sheetName val="O__PTB_IMA"/>
      <sheetName val="1__REQUETE_DES_FONDS"/>
      <sheetName val="ACCUSE_DE_RECEPTION"/>
      <sheetName val="2__SUIVI_FINANCIER"/>
      <sheetName val="3__JOURNAL_DES_DEPENSES"/>
      <sheetName val="4__SUIVI_BUDGETAIRE"/>
      <sheetName val="5__EFR_MALARIA"/>
      <sheetName val="6_0_RESOURCES_EMPLOIS"/>
      <sheetName val="6_1RESSOURCES_EMPLOIS_CUMULES"/>
      <sheetName val="7_0_DETAILS_DES_AVANCES"/>
      <sheetName val="7_1_AVANCES_AGEES"/>
      <sheetName val="8_DETAILS_DES_ENGAGEMENTS_Cptbl"/>
      <sheetName val="8_DETAILS_DES_ENGAG__non_cptbls"/>
      <sheetName val="9_DETAILS_DES_OBLIGATIONS"/>
      <sheetName val="10_RECONCILIATION_BANCAIRE"/>
      <sheetName val="11_PV_DE_CAISSE"/>
      <sheetName val="12_INVENTAIRE_DES_ASSETS"/>
      <sheetName val="Budget_Lines2"/>
      <sheetName val="IRS_FORMAT_GF2"/>
      <sheetName val="Memo_HIV2"/>
      <sheetName val="Item_cost2"/>
      <sheetName val="LFA_Programmatic_Progress_1B2"/>
      <sheetName val="SDA_1_1"/>
      <sheetName val="//tgf_sharepoint_com/Users/Faza"/>
      <sheetName val="excelupload_T1"/>
      <sheetName val="GJ_T1"/>
      <sheetName val="Account_Code1"/>
      <sheetName val="T4_Codes1"/>
      <sheetName val="T7_Codes1"/>
      <sheetName val="Busgetisation_feuille_revision_"/>
      <sheetName val="Annexe_1a_PTB_Caritas"/>
      <sheetName val="Annexe_6_Hypot_activités"/>
      <sheetName val="Staffing_Levels"/>
      <sheetName val="Non-Statistical_Sampling_Master"/>
      <sheetName val="Two_Step_Revenue_Testing_Master"/>
      <sheetName val="Global_Data"/>
      <sheetName val="Budget_résumé"/>
      <sheetName val="to_print_for_signing"/>
      <sheetName val="Memo_Malaria"/>
      <sheetName val="NHSO"/>
      <sheetName val="Grants"/>
      <sheetName val="[Pharma CIs]__tgf_sharepoint_37"/>
      <sheetName val="[Pharma CIs]__tgf_sharepoint_36"/>
      <sheetName val="[Pharma CIs]__tgf_sharepoint_38"/>
      <sheetName val="[Pharma CIs]__tgf_sharepoint_39"/>
      <sheetName val="[Pharma CIs]__tgf_sharepoint_40"/>
      <sheetName val="[Pharma CIs]__tgf_sharepoint_41"/>
      <sheetName val="[Pharma CIs]__tgf_sharepoint_43"/>
      <sheetName val="[Pharma CIs]__tgf_sharepoint_42"/>
      <sheetName val="[Pharma CIs]__tgf_sharepoint_44"/>
      <sheetName val="[Pharma CIs]__tgf_sharepoint_45"/>
      <sheetName val="[Pharma CIs]__tgf_sharepoint_46"/>
      <sheetName val="[Pharma CIs]__tgf_sharepoint_49"/>
      <sheetName val="[Pharma CIs]__tgf_sharepoint_48"/>
      <sheetName val="[Pharma CIs]__tgf_sharepoint_47"/>
      <sheetName val="[Pharma CIs]__tgf_sharepoint_50"/>
      <sheetName val="[Pharma CIs]__tgf_sharepoint_51"/>
      <sheetName val="[Pharma CIs]__tgf_sharepoint_59"/>
      <sheetName val="[Pharma CIs]__tgf_sharepoint_52"/>
      <sheetName val="[Pharma CIs]__tgf_sharepoint_53"/>
      <sheetName val="[Pharma CIs]__tgf_sharepoint_55"/>
      <sheetName val="[Pharma CIs]__tgf_sharepoint_54"/>
      <sheetName val="[Pharma CIs]__tgf_sharepoint_56"/>
      <sheetName val="[Pharma CIs]__tgf_sharepoint_57"/>
      <sheetName val="[Pharma CIs]__tgf_sharepoint_58"/>
      <sheetName val="[Pharma CIs]__tgf_sharepoint_60"/>
      <sheetName val="[Pharma CIs]__tgf_sharepoint_61"/>
      <sheetName val="[Pharma CIs]__tgf_sharepoint_62"/>
      <sheetName val="[Pharma CIs]__tgf_sharepoint_63"/>
      <sheetName val="[Pharma CIs]__tgf_sharepoint_65"/>
      <sheetName val="[Pharma CIs]__tgf_sharepoint_64"/>
      <sheetName val="Schedule 1 Trial Balance"/>
      <sheetName val="[Pharma CIs][Pharma CIs]__tgf_2"/>
      <sheetName val="Avril 2020 Cohesion sociale"/>
      <sheetName val="Pharma_CIs11"/>
      <sheetName val="Detailed_Budget7"/>
      <sheetName val="Codes_7"/>
      <sheetName val="Cost_Inputs7"/>
      <sheetName val="Apercu_-_Section_A7"/>
      <sheetName val="Budget_Template4"/>
      <sheetName val="Data_Sheet4"/>
      <sheetName val="Rate_tables3"/>
      <sheetName val="1_Res_Hum3"/>
      <sheetName val="LFA_Programmatic_Progress_1B4"/>
      <sheetName val="Budget_Lines4"/>
      <sheetName val="IRS_FORMAT_GF4"/>
      <sheetName val="Memo_HIV4"/>
      <sheetName val="Item_cost4"/>
      <sheetName val="excelupload_T3"/>
      <sheetName val="GJ_T3"/>
      <sheetName val="Account_Code3"/>
      <sheetName val="T4_Codes3"/>
      <sheetName val="T7_Codes3"/>
      <sheetName val="Range_Page4"/>
      <sheetName val="SDA_1_12"/>
      <sheetName val="O__PTB_IMA2"/>
      <sheetName val="1__REQUETE_DES_FONDS2"/>
      <sheetName val="ACCUSE_DE_RECEPTION2"/>
      <sheetName val="2__SUIVI_FINANCIER2"/>
      <sheetName val="3__JOURNAL_DES_DEPENSES2"/>
      <sheetName val="4__SUIVI_BUDGETAIRE2"/>
      <sheetName val="5__EFR_MALARIA2"/>
      <sheetName val="6_0_RESOURCES_EMPLOIS2"/>
      <sheetName val="6_1RESSOURCES_EMPLOIS_CUMULES2"/>
      <sheetName val="7_0_DETAILS_DES_AVANCES2"/>
      <sheetName val="7_1_AVANCES_AGEES2"/>
      <sheetName val="8_DETAILS_DES_ENGAGEMENTS_Cptb2"/>
      <sheetName val="8_DETAILS_DES_ENGAG__non_cptbl2"/>
      <sheetName val="9_DETAILS_DES_OBLIGATIONS2"/>
      <sheetName val="10_RECONCILIATION_BANCAIRE2"/>
      <sheetName val="11_PV_DE_CAISSE2"/>
      <sheetName val="12_INVENTAIRE_DES_ASSETS2"/>
      <sheetName val="//tgf_sharepoint_com/Users/Faz2"/>
      <sheetName val="Busgetisation_feuille_revision2"/>
      <sheetName val="Staffing_Levels2"/>
      <sheetName val="to_print_for_signing2"/>
      <sheetName val="Non-Statistical_Sampling_Maste2"/>
      <sheetName val="Two_Step_Revenue_Testing_Maste2"/>
      <sheetName val="Global_Data2"/>
      <sheetName val="Pharma_CIs9"/>
      <sheetName val="Range_Page2"/>
      <sheetName val="Pharma_CIs10"/>
      <sheetName val="Detailed_Budget6"/>
      <sheetName val="Codes_6"/>
      <sheetName val="Cost_Inputs6"/>
      <sheetName val="Apercu_-_Section_A6"/>
      <sheetName val="Budget_Template3"/>
      <sheetName val="Data_Sheet3"/>
      <sheetName val="Rate_tables2"/>
      <sheetName val="1_Res_Hum2"/>
      <sheetName val="LFA_Programmatic_Progress_1B3"/>
      <sheetName val="Budget_Lines3"/>
      <sheetName val="IRS_FORMAT_GF3"/>
      <sheetName val="Memo_HIV3"/>
      <sheetName val="Item_cost3"/>
      <sheetName val="excelupload_T2"/>
      <sheetName val="GJ_T2"/>
      <sheetName val="Account_Code2"/>
      <sheetName val="T4_Codes2"/>
      <sheetName val="T7_Codes2"/>
      <sheetName val="Range_Page3"/>
      <sheetName val="SDA_1_11"/>
      <sheetName val="O__PTB_IMA1"/>
      <sheetName val="1__REQUETE_DES_FONDS1"/>
      <sheetName val="ACCUSE_DE_RECEPTION1"/>
      <sheetName val="2__SUIVI_FINANCIER1"/>
      <sheetName val="3__JOURNAL_DES_DEPENSES1"/>
      <sheetName val="4__SUIVI_BUDGETAIRE1"/>
      <sheetName val="5__EFR_MALARIA1"/>
      <sheetName val="6_0_RESOURCES_EMPLOIS1"/>
      <sheetName val="6_1RESSOURCES_EMPLOIS_CUMULES1"/>
      <sheetName val="7_0_DETAILS_DES_AVANCES1"/>
      <sheetName val="7_1_AVANCES_AGEES1"/>
      <sheetName val="8_DETAILS_DES_ENGAGEMENTS_Cptb1"/>
      <sheetName val="8_DETAILS_DES_ENGAG__non_cptbl1"/>
      <sheetName val="9_DETAILS_DES_OBLIGATIONS1"/>
      <sheetName val="10_RECONCILIATION_BANCAIRE1"/>
      <sheetName val="11_PV_DE_CAISSE1"/>
      <sheetName val="12_INVENTAIRE_DES_ASSETS1"/>
      <sheetName val="//tgf_sharepoint_com/Users/Faz1"/>
      <sheetName val="Busgetisation_feuille_revision1"/>
      <sheetName val="Staffing_Levels1"/>
      <sheetName val="to_print_for_signing1"/>
      <sheetName val="Non-Statistical_Sampling_Maste1"/>
      <sheetName val="Two_Step_Revenue_Testing_Maste1"/>
      <sheetName val="Global_Data1"/>
      <sheetName val="Pharma_CIs12"/>
      <sheetName val="Detailed_Budget8"/>
      <sheetName val="Cost_Inputs8"/>
      <sheetName val="Codes_8"/>
      <sheetName val="Apercu_-_Section_A8"/>
      <sheetName val="Budget_Template5"/>
      <sheetName val="Data_Sheet5"/>
      <sheetName val="Rate_tables4"/>
      <sheetName val="1_Res_Hum4"/>
      <sheetName val="Budget_Lines5"/>
      <sheetName val="IRS_FORMAT_GF5"/>
      <sheetName val="Memo_HIV5"/>
      <sheetName val="Item_cost5"/>
      <sheetName val="LFA_Programmatic_Progress_1B5"/>
      <sheetName val="//tgf_sharepoint_com/Users/Faz3"/>
      <sheetName val="O__PTB_IMA3"/>
      <sheetName val="1__REQUETE_DES_FONDS3"/>
      <sheetName val="ACCUSE_DE_RECEPTION3"/>
      <sheetName val="2__SUIVI_FINANCIER3"/>
      <sheetName val="3__JOURNAL_DES_DEPENSES3"/>
      <sheetName val="4__SUIVI_BUDGETAIRE3"/>
      <sheetName val="5__EFR_MALARIA3"/>
      <sheetName val="6_0_RESOURCES_EMPLOIS3"/>
      <sheetName val="6_1RESSOURCES_EMPLOIS_CUMULES3"/>
      <sheetName val="7_0_DETAILS_DES_AVANCES3"/>
      <sheetName val="7_1_AVANCES_AGEES3"/>
      <sheetName val="8_DETAILS_DES_ENGAGEMENTS_Cptb3"/>
      <sheetName val="8_DETAILS_DES_ENGAG__non_cptbl3"/>
      <sheetName val="9_DETAILS_DES_OBLIGATIONS3"/>
      <sheetName val="10_RECONCILIATION_BANCAIRE3"/>
      <sheetName val="11_PV_DE_CAISSE3"/>
      <sheetName val="12_INVENTAIRE_DES_ASSETS3"/>
      <sheetName val="excelupload_T4"/>
      <sheetName val="GJ_T4"/>
      <sheetName val="Account_Code4"/>
      <sheetName val="T4_Codes4"/>
      <sheetName val="T7_Codes4"/>
      <sheetName val="Busgetisation_feuille_revision3"/>
      <sheetName val="SDA_1_13"/>
      <sheetName val="to_print_for_signing3"/>
      <sheetName val="Staffing_Levels3"/>
      <sheetName val="Non-Statistical_Sampling_Maste3"/>
      <sheetName val="Two_Step_Revenue_Testing_Maste3"/>
      <sheetName val="Global_Data3"/>
      <sheetName val="Pharma_CIs13"/>
      <sheetName val="Detailed_Budget9"/>
      <sheetName val="Codes_9"/>
      <sheetName val="Cost_Inputs9"/>
      <sheetName val="Apercu_-_Section_A9"/>
      <sheetName val="Budget_Template6"/>
      <sheetName val="Data_Sheet6"/>
      <sheetName val="Rate_tables5"/>
      <sheetName val="1_Res_Hum5"/>
      <sheetName val="LFA_Programmatic_Progress_1B6"/>
      <sheetName val="Budget_Lines6"/>
      <sheetName val="IRS_FORMAT_GF6"/>
      <sheetName val="Memo_HIV6"/>
      <sheetName val="Item_cost6"/>
      <sheetName val="excelupload_T5"/>
      <sheetName val="GJ_T5"/>
      <sheetName val="Account_Code5"/>
      <sheetName val="T4_Codes5"/>
      <sheetName val="T7_Codes5"/>
      <sheetName val="SDA_1_14"/>
      <sheetName val="O__PTB_IMA4"/>
      <sheetName val="1__REQUETE_DES_FONDS4"/>
      <sheetName val="ACCUSE_DE_RECEPTION4"/>
      <sheetName val="2__SUIVI_FINANCIER4"/>
      <sheetName val="3__JOURNAL_DES_DEPENSES4"/>
      <sheetName val="4__SUIVI_BUDGETAIRE4"/>
      <sheetName val="5__EFR_MALARIA4"/>
      <sheetName val="6_0_RESOURCES_EMPLOIS4"/>
      <sheetName val="6_1RESSOURCES_EMPLOIS_CUMULES4"/>
      <sheetName val="7_0_DETAILS_DES_AVANCES4"/>
      <sheetName val="7_1_AVANCES_AGEES4"/>
      <sheetName val="8_DETAILS_DES_ENGAGEMENTS_Cptb4"/>
      <sheetName val="8_DETAILS_DES_ENGAG__non_cptbl4"/>
      <sheetName val="9_DETAILS_DES_OBLIGATIONS4"/>
      <sheetName val="10_RECONCILIATION_BANCAIRE4"/>
      <sheetName val="11_PV_DE_CAISSE4"/>
      <sheetName val="12_INVENTAIRE_DES_ASSETS4"/>
      <sheetName val="//tgf_sharepoint_com/Users/Faz4"/>
      <sheetName val="Busgetisation_feuille_revision4"/>
      <sheetName val="Staffing_Levels4"/>
      <sheetName val="to_print_for_signing4"/>
      <sheetName val="Non-Statistical_Sampling_Maste4"/>
      <sheetName val="Two_Step_Revenue_Testing_Maste4"/>
      <sheetName val="Global_Data4"/>
      <sheetName val="Range_Page5"/>
      <sheetName val="Pharma_CIs16"/>
      <sheetName val="Detailed_Budget12"/>
      <sheetName val="Cost_Inputs12"/>
      <sheetName val="Codes_12"/>
      <sheetName val="Apercu_-_Section_A12"/>
      <sheetName val="Budget_Template9"/>
      <sheetName val="Data_Sheet9"/>
      <sheetName val="Rate_tables8"/>
      <sheetName val="1_Res_Hum8"/>
      <sheetName val="Budget_Lines9"/>
      <sheetName val="IRS_FORMAT_GF9"/>
      <sheetName val="Memo_HIV9"/>
      <sheetName val="Item_cost9"/>
      <sheetName val="LFA_Programmatic_Progress_1B9"/>
      <sheetName val="//tgf_sharepoint_com/Users/Faz7"/>
      <sheetName val="O__PTB_IMA7"/>
      <sheetName val="1__REQUETE_DES_FONDS7"/>
      <sheetName val="ACCUSE_DE_RECEPTION7"/>
      <sheetName val="2__SUIVI_FINANCIER7"/>
      <sheetName val="3__JOURNAL_DES_DEPENSES7"/>
      <sheetName val="4__SUIVI_BUDGETAIRE7"/>
      <sheetName val="5__EFR_MALARIA7"/>
      <sheetName val="6_0_RESOURCES_EMPLOIS7"/>
      <sheetName val="6_1RESSOURCES_EMPLOIS_CUMULES7"/>
      <sheetName val="7_0_DETAILS_DES_AVANCES7"/>
      <sheetName val="7_1_AVANCES_AGEES7"/>
      <sheetName val="8_DETAILS_DES_ENGAGEMENTS_Cptb7"/>
      <sheetName val="8_DETAILS_DES_ENGAG__non_cptbl7"/>
      <sheetName val="9_DETAILS_DES_OBLIGATIONS7"/>
      <sheetName val="10_RECONCILIATION_BANCAIRE7"/>
      <sheetName val="11_PV_DE_CAISSE7"/>
      <sheetName val="12_INVENTAIRE_DES_ASSETS7"/>
      <sheetName val="excelupload_T8"/>
      <sheetName val="GJ_T8"/>
      <sheetName val="Account_Code8"/>
      <sheetName val="T4_Codes8"/>
      <sheetName val="T7_Codes8"/>
      <sheetName val="Busgetisation_feuille_revision7"/>
      <sheetName val="SDA_1_17"/>
      <sheetName val="to_print_for_signing7"/>
      <sheetName val="Staffing_Levels7"/>
      <sheetName val="Non-Statistical_Sampling_Maste7"/>
      <sheetName val="Two_Step_Revenue_Testing_Maste7"/>
      <sheetName val="Global_Data7"/>
      <sheetName val="Pharma_CIs15"/>
      <sheetName val="Detailed_Budget11"/>
      <sheetName val="Codes_11"/>
      <sheetName val="Cost_Inputs11"/>
      <sheetName val="Apercu_-_Section_A11"/>
      <sheetName val="Budget_Template8"/>
      <sheetName val="Data_Sheet8"/>
      <sheetName val="Rate_tables7"/>
      <sheetName val="1_Res_Hum7"/>
      <sheetName val="LFA_Programmatic_Progress_1B8"/>
      <sheetName val="Budget_Lines8"/>
      <sheetName val="IRS_FORMAT_GF8"/>
      <sheetName val="Memo_HIV8"/>
      <sheetName val="Item_cost8"/>
      <sheetName val="excelupload_T7"/>
      <sheetName val="GJ_T7"/>
      <sheetName val="Account_Code7"/>
      <sheetName val="T4_Codes7"/>
      <sheetName val="T7_Codes7"/>
      <sheetName val="SDA_1_16"/>
      <sheetName val="O__PTB_IMA6"/>
      <sheetName val="1__REQUETE_DES_FONDS6"/>
      <sheetName val="ACCUSE_DE_RECEPTION6"/>
      <sheetName val="2__SUIVI_FINANCIER6"/>
      <sheetName val="3__JOURNAL_DES_DEPENSES6"/>
      <sheetName val="4__SUIVI_BUDGETAIRE6"/>
      <sheetName val="5__EFR_MALARIA6"/>
      <sheetName val="6_0_RESOURCES_EMPLOIS6"/>
      <sheetName val="6_1RESSOURCES_EMPLOIS_CUMULES6"/>
      <sheetName val="7_0_DETAILS_DES_AVANCES6"/>
      <sheetName val="7_1_AVANCES_AGEES6"/>
      <sheetName val="8_DETAILS_DES_ENGAGEMENTS_Cptb6"/>
      <sheetName val="8_DETAILS_DES_ENGAG__non_cptbl6"/>
      <sheetName val="9_DETAILS_DES_OBLIGATIONS6"/>
      <sheetName val="10_RECONCILIATION_BANCAIRE6"/>
      <sheetName val="11_PV_DE_CAISSE6"/>
      <sheetName val="12_INVENTAIRE_DES_ASSETS6"/>
      <sheetName val="//tgf_sharepoint_com/Users/Faz6"/>
      <sheetName val="Busgetisation_feuille_revision6"/>
      <sheetName val="Staffing_Levels6"/>
      <sheetName val="to_print_for_signing6"/>
      <sheetName val="Non-Statistical_Sampling_Maste6"/>
      <sheetName val="Two_Step_Revenue_Testing_Maste6"/>
      <sheetName val="Global_Data6"/>
      <sheetName val="Pharma_CIs14"/>
      <sheetName val="Detailed_Budget10"/>
      <sheetName val="Cost_Inputs10"/>
      <sheetName val="Codes_10"/>
      <sheetName val="Apercu_-_Section_A10"/>
      <sheetName val="Budget_Template7"/>
      <sheetName val="Data_Sheet7"/>
      <sheetName val="Rate_tables6"/>
      <sheetName val="1_Res_Hum6"/>
      <sheetName val="LFA_Programmatic_Progress_1B7"/>
      <sheetName val="Budget_Lines7"/>
      <sheetName val="IRS_FORMAT_GF7"/>
      <sheetName val="Memo_HIV7"/>
      <sheetName val="Item_cost7"/>
      <sheetName val="SDA_1_15"/>
      <sheetName val="excelupload_T6"/>
      <sheetName val="GJ_T6"/>
      <sheetName val="Account_Code6"/>
      <sheetName val="T4_Codes6"/>
      <sheetName val="T7_Codes6"/>
      <sheetName val="O__PTB_IMA5"/>
      <sheetName val="1__REQUETE_DES_FONDS5"/>
      <sheetName val="ACCUSE_DE_RECEPTION5"/>
      <sheetName val="2__SUIVI_FINANCIER5"/>
      <sheetName val="3__JOURNAL_DES_DEPENSES5"/>
      <sheetName val="4__SUIVI_BUDGETAIRE5"/>
      <sheetName val="5__EFR_MALARIA5"/>
      <sheetName val="6_0_RESOURCES_EMPLOIS5"/>
      <sheetName val="6_1RESSOURCES_EMPLOIS_CUMULES5"/>
      <sheetName val="7_0_DETAILS_DES_AVANCES5"/>
      <sheetName val="7_1_AVANCES_AGEES5"/>
      <sheetName val="8_DETAILS_DES_ENGAGEMENTS_Cptb5"/>
      <sheetName val="8_DETAILS_DES_ENGAG__non_cptbl5"/>
      <sheetName val="9_DETAILS_DES_OBLIGATIONS5"/>
      <sheetName val="10_RECONCILIATION_BANCAIRE5"/>
      <sheetName val="11_PV_DE_CAISSE5"/>
      <sheetName val="12_INVENTAIRE_DES_ASSETS5"/>
      <sheetName val="//tgf_sharepoint_com/Users/Faz5"/>
      <sheetName val="Busgetisation_feuille_revision5"/>
      <sheetName val="Staffing_Levels5"/>
      <sheetName val="to_print_for_signing5"/>
      <sheetName val="Non-Statistical_Sampling_Maste5"/>
      <sheetName val="Two_Step_Revenue_Testing_Maste5"/>
      <sheetName val="Global_Data5"/>
      <sheetName val="Pharma_CIs18"/>
      <sheetName val="Detailed_Budget14"/>
      <sheetName val="Cost_Inputs14"/>
      <sheetName val="Codes_14"/>
      <sheetName val="Apercu_-_Section_A14"/>
      <sheetName val="Budget_Template11"/>
      <sheetName val="Data_Sheet11"/>
      <sheetName val="Rate_tables10"/>
      <sheetName val="1_Res_Hum10"/>
      <sheetName val="Budget_Lines11"/>
      <sheetName val="IRS_FORMAT_GF11"/>
      <sheetName val="Memo_HIV11"/>
      <sheetName val="Item_cost11"/>
      <sheetName val="LFA_Programmatic_Progress_1B11"/>
      <sheetName val="//tgf_sharepoint_com/Users/Faz9"/>
      <sheetName val="O__PTB_IMA9"/>
      <sheetName val="1__REQUETE_DES_FONDS9"/>
      <sheetName val="ACCUSE_DE_RECEPTION9"/>
      <sheetName val="2__SUIVI_FINANCIER9"/>
      <sheetName val="3__JOURNAL_DES_DEPENSES9"/>
      <sheetName val="4__SUIVI_BUDGETAIRE9"/>
      <sheetName val="5__EFR_MALARIA9"/>
      <sheetName val="6_0_RESOURCES_EMPLOIS9"/>
      <sheetName val="6_1RESSOURCES_EMPLOIS_CUMULES9"/>
      <sheetName val="7_0_DETAILS_DES_AVANCES9"/>
      <sheetName val="7_1_AVANCES_AGEES9"/>
      <sheetName val="8_DETAILS_DES_ENGAGEMENTS_Cptb9"/>
      <sheetName val="8_DETAILS_DES_ENGAG__non_cptbl9"/>
      <sheetName val="9_DETAILS_DES_OBLIGATIONS9"/>
      <sheetName val="10_RECONCILIATION_BANCAIRE9"/>
      <sheetName val="11_PV_DE_CAISSE9"/>
      <sheetName val="12_INVENTAIRE_DES_ASSETS9"/>
      <sheetName val="excelupload_T10"/>
      <sheetName val="GJ_T10"/>
      <sheetName val="Account_Code10"/>
      <sheetName val="T4_Codes10"/>
      <sheetName val="T7_Codes10"/>
      <sheetName val="Busgetisation_feuille_revision9"/>
      <sheetName val="SDA_1_19"/>
      <sheetName val="to_print_for_signing9"/>
      <sheetName val="Staffing_Levels9"/>
      <sheetName val="Non-Statistical_Sampling_Maste9"/>
      <sheetName val="Two_Step_Revenue_Testing_Maste9"/>
      <sheetName val="Global_Data9"/>
      <sheetName val="Pharma_CIs17"/>
      <sheetName val="Detailed_Budget13"/>
      <sheetName val="Cost_Inputs13"/>
      <sheetName val="Codes_13"/>
      <sheetName val="Apercu_-_Section_A13"/>
      <sheetName val="Budget_Template10"/>
      <sheetName val="Data_Sheet10"/>
      <sheetName val="Rate_tables9"/>
      <sheetName val="1_Res_Hum9"/>
      <sheetName val="Budget_Lines10"/>
      <sheetName val="IRS_FORMAT_GF10"/>
      <sheetName val="Memo_HIV10"/>
      <sheetName val="Item_cost10"/>
      <sheetName val="LFA_Programmatic_Progress_1B10"/>
      <sheetName val="//tgf_sharepoint_com/Users/Faz8"/>
      <sheetName val="O__PTB_IMA8"/>
      <sheetName val="1__REQUETE_DES_FONDS8"/>
      <sheetName val="ACCUSE_DE_RECEPTION8"/>
      <sheetName val="2__SUIVI_FINANCIER8"/>
      <sheetName val="3__JOURNAL_DES_DEPENSES8"/>
      <sheetName val="4__SUIVI_BUDGETAIRE8"/>
      <sheetName val="5__EFR_MALARIA8"/>
      <sheetName val="6_0_RESOURCES_EMPLOIS8"/>
      <sheetName val="6_1RESSOURCES_EMPLOIS_CUMULES8"/>
      <sheetName val="7_0_DETAILS_DES_AVANCES8"/>
      <sheetName val="7_1_AVANCES_AGEES8"/>
      <sheetName val="8_DETAILS_DES_ENGAGEMENTS_Cptb8"/>
      <sheetName val="8_DETAILS_DES_ENGAG__non_cptbl8"/>
      <sheetName val="9_DETAILS_DES_OBLIGATIONS8"/>
      <sheetName val="10_RECONCILIATION_BANCAIRE8"/>
      <sheetName val="11_PV_DE_CAISSE8"/>
      <sheetName val="12_INVENTAIRE_DES_ASSETS8"/>
      <sheetName val="excelupload_T9"/>
      <sheetName val="GJ_T9"/>
      <sheetName val="Account_Code9"/>
      <sheetName val="T4_Codes9"/>
      <sheetName val="T7_Codes9"/>
      <sheetName val="Busgetisation_feuille_revision8"/>
      <sheetName val="SDA_1_18"/>
      <sheetName val="to_print_for_signing8"/>
      <sheetName val="Staffing_Levels8"/>
      <sheetName val="Non-Statistical_Sampling_Maste8"/>
      <sheetName val="Two_Step_Revenue_Testing_Maste8"/>
      <sheetName val="Global_Data8"/>
      <sheetName val="Pharma_CIs19"/>
      <sheetName val="Detailed_Budget15"/>
      <sheetName val="Cost_Inputs15"/>
      <sheetName val="Codes_15"/>
      <sheetName val="Apercu_-_Section_A15"/>
      <sheetName val="Budget_Template12"/>
      <sheetName val="Data_Sheet12"/>
      <sheetName val="Rate_tables11"/>
      <sheetName val="1_Res_Hum11"/>
      <sheetName val="Budget_Lines12"/>
      <sheetName val="IRS_FORMAT_GF12"/>
      <sheetName val="Memo_HIV12"/>
      <sheetName val="Item_cost12"/>
      <sheetName val="LFA_Programmatic_Progress_1B12"/>
      <sheetName val="//tgf_sharepoint_com/Users/Fa10"/>
      <sheetName val="O__PTB_IMA10"/>
      <sheetName val="1__REQUETE_DES_FONDS10"/>
      <sheetName val="ACCUSE_DE_RECEPTION10"/>
      <sheetName val="2__SUIVI_FINANCIER10"/>
      <sheetName val="3__JOURNAL_DES_DEPENSES10"/>
      <sheetName val="4__SUIVI_BUDGETAIRE10"/>
      <sheetName val="5__EFR_MALARIA10"/>
      <sheetName val="6_0_RESOURCES_EMPLOIS10"/>
      <sheetName val="6_1RESSOURCES_EMPLOIS_CUMULES10"/>
      <sheetName val="7_0_DETAILS_DES_AVANCES10"/>
      <sheetName val="7_1_AVANCES_AGEES10"/>
      <sheetName val="8_DETAILS_DES_ENGAGEMENTS_Cpt10"/>
      <sheetName val="8_DETAILS_DES_ENGAG__non_cptb10"/>
      <sheetName val="9_DETAILS_DES_OBLIGATIONS10"/>
      <sheetName val="10_RECONCILIATION_BANCAIRE10"/>
      <sheetName val="11_PV_DE_CAISSE10"/>
      <sheetName val="12_INVENTAIRE_DES_ASSETS10"/>
      <sheetName val="excelupload_T11"/>
      <sheetName val="GJ_T11"/>
      <sheetName val="Account_Code11"/>
      <sheetName val="T4_Codes11"/>
      <sheetName val="T7_Codes11"/>
      <sheetName val="Busgetisation_feuille_revisio10"/>
      <sheetName val="SDA_1_110"/>
      <sheetName val="to_print_for_signing10"/>
      <sheetName val="Staffing_Levels10"/>
      <sheetName val="Non-Statistical_Sampling_Mast10"/>
      <sheetName val="Two_Step_Revenue_Testing_Mast10"/>
      <sheetName val="Global_Data10"/>
      <sheetName val="Pharma_CIs20"/>
      <sheetName val="Detailed_Budget16"/>
      <sheetName val="Cost_Inputs16"/>
      <sheetName val="Codes_16"/>
      <sheetName val="Apercu_-_Section_A16"/>
      <sheetName val="Budget_Template13"/>
      <sheetName val="Data_Sheet13"/>
      <sheetName val="Rate_tables12"/>
      <sheetName val="1_Res_Hum12"/>
      <sheetName val="Budget_Lines13"/>
      <sheetName val="IRS_FORMAT_GF13"/>
      <sheetName val="Memo_HIV13"/>
      <sheetName val="Item_cost13"/>
      <sheetName val="LFA_Programmatic_Progress_1B13"/>
      <sheetName val="//tgf_sharepoint_com/Users/Fa11"/>
      <sheetName val="O__PTB_IMA11"/>
      <sheetName val="1__REQUETE_DES_FONDS11"/>
      <sheetName val="ACCUSE_DE_RECEPTION11"/>
      <sheetName val="2__SUIVI_FINANCIER11"/>
      <sheetName val="3__JOURNAL_DES_DEPENSES11"/>
      <sheetName val="4__SUIVI_BUDGETAIRE11"/>
      <sheetName val="5__EFR_MALARIA11"/>
      <sheetName val="6_0_RESOURCES_EMPLOIS11"/>
      <sheetName val="6_1RESSOURCES_EMPLOIS_CUMULES11"/>
      <sheetName val="7_0_DETAILS_DES_AVANCES11"/>
      <sheetName val="7_1_AVANCES_AGEES11"/>
      <sheetName val="8_DETAILS_DES_ENGAGEMENTS_Cpt11"/>
      <sheetName val="8_DETAILS_DES_ENGAG__non_cptb11"/>
      <sheetName val="9_DETAILS_DES_OBLIGATIONS11"/>
      <sheetName val="10_RECONCILIATION_BANCAIRE11"/>
      <sheetName val="11_PV_DE_CAISSE11"/>
      <sheetName val="12_INVENTAIRE_DES_ASSETS11"/>
      <sheetName val="excelupload_T12"/>
      <sheetName val="GJ_T12"/>
      <sheetName val="Account_Code12"/>
      <sheetName val="T4_Codes12"/>
      <sheetName val="T7_Codes12"/>
      <sheetName val="Busgetisation_feuille_revisio11"/>
      <sheetName val="SDA_1_111"/>
      <sheetName val="to_print_for_signing11"/>
      <sheetName val="Staffing_Levels11"/>
      <sheetName val="Non-Statistical_Sampling_Mast11"/>
      <sheetName val="Two_Step_Revenue_Testing_Mast11"/>
      <sheetName val="Global_Data11"/>
      <sheetName val="[Pharma CIs]__tgf_sharepoint_68"/>
      <sheetName val="[Pharma CIs][Pharma CIs]__tgf_3"/>
      <sheetName val="[Pharma CIs][Pharma CIs]//tgf.s"/>
      <sheetName val="Bayar"/>
      <sheetName val="CASH BOOK"/>
      <sheetName val="Definitions-lists-EFR"/>
      <sheetName val="[Pharma CIs]__tgf_sharepoint_70"/>
      <sheetName val="[Pharma CIs]__tgf_sharepoint_69"/>
      <sheetName val="[Pharma CIs]__tgf_sharepoint_92"/>
      <sheetName val="[Pharma CIs]__tgf_sharepoint_91"/>
      <sheetName val="[Pharma CIs]__tgf_sharepoint_71"/>
      <sheetName val="[Pharma CIs]__tgf_sharepoint_72"/>
      <sheetName val="[Pharma CIs]__tgf_sharepoint_73"/>
      <sheetName val="[Pharma CIs]__tgf_sharepoint_74"/>
      <sheetName val="[Pharma CIs]__tgf_sharepoint_76"/>
      <sheetName val="[Pharma CIs]__tgf_sharepoint_75"/>
      <sheetName val="[Pharma CIs]__tgf_sharepoint_77"/>
      <sheetName val="[Pharma CIs]__tgf_sharepoint_83"/>
      <sheetName val="[Pharma CIs]__tgf_sharepoint_78"/>
      <sheetName val="[Pharma CIs]__tgf_sharepoint_79"/>
      <sheetName val="[Pharma CIs]__tgf_sharepoint_80"/>
      <sheetName val="[Pharma CIs]__tgf_sharepoint_81"/>
      <sheetName val="[Pharma CIs]__tgf_sharepoint_82"/>
      <sheetName val="[Pharma CIs]__tgf_sharepoint_84"/>
      <sheetName val="[Pharma CIs]__tgf_sharepoint_85"/>
      <sheetName val="[Pharma CIs]__tgf_sharepoint_86"/>
      <sheetName val="[Pharma CIs]__tgf_sharepoint_87"/>
      <sheetName val="[Pharma CIs]__tgf_sharepoint_88"/>
      <sheetName val="[Pharma CIs]__tgf_sharepoint_89"/>
      <sheetName val="[Pharma CIs]__tgf_sharepoint_90"/>
      <sheetName val="[Pharma CIs]__tgf_sharepoint_98"/>
      <sheetName val="[Pharma CIs]__tgf_sharepoint_96"/>
      <sheetName val="[Pharma CIs]__tgf_sharepoint_94"/>
      <sheetName val="[Pharma CIs]__tgf_sharepoint_93"/>
      <sheetName val="[Pharma CIs]__tgf_sharepoint_95"/>
      <sheetName val="[Pharma CIs]__tgf_sharepoint_97"/>
      <sheetName val="[Pharma CIs]__tgf_sharepoint_99"/>
      <sheetName val="[Pharma CIs]__tgf_sharepoin_100"/>
      <sheetName val="[Pharma CIs]__tgf_sharepoin_101"/>
      <sheetName val="[Pharma CIs]__tgf_sharepoin_102"/>
      <sheetName val="[Pharma CIs]__tgf_sharepoin_103"/>
      <sheetName val="[Pharma CIs]__tgf_sharepoin_104"/>
      <sheetName val="[Pharma CIs]__tgf_sharepoin_105"/>
      <sheetName val="[Pharma CIs]__tgf_sharepoin_115"/>
      <sheetName val="[Pharma CIs]__tgf_sharepoin_108"/>
      <sheetName val="[Pharma CIs]__tgf_sharepoin_107"/>
      <sheetName val="[Pharma CIs]__tgf_sharepoin_106"/>
      <sheetName val="[Pharma CIs]__tgf_sharepoin_113"/>
      <sheetName val="[Pharma CIs]__tgf_sharepoin_109"/>
      <sheetName val="[Pharma CIs]__tgf_sharepoin_110"/>
      <sheetName val="[Pharma CIs]__tgf_sharepoin_111"/>
      <sheetName val="[Pharma CIs]__tgf_sharepoin_112"/>
      <sheetName val="[Pharma CIs]__tgf_sharepoin_114"/>
      <sheetName val="[Pharma CIs]__tgf_sharepoin_116"/>
      <sheetName val="[Pharma CIs]__tgf_sharepoin_117"/>
      <sheetName val="[Pharma CIs]__tgf_sharepoin_119"/>
      <sheetName val="[Pharma CIs]__tgf_sharepoin_118"/>
      <sheetName val="[Pharma CIs]__tgf_sharepoin_184"/>
      <sheetName val="[Pharma CIs]__tgf_sharepoin_120"/>
      <sheetName val="[Pharma CIs][Pharma CIs]__tgf_4"/>
      <sheetName val="[Pharma CIs][Pharma CIs]__tgf_5"/>
      <sheetName val="[Pharma CIs][Pharma CIs]__tgf_6"/>
      <sheetName val="[Pharma CIs]__tgf_sharepoin_175"/>
      <sheetName val="[Pharma CIs]__tgf_sharepoin_171"/>
      <sheetName val="[Pharma CIs]__tgf_sharepoin_170"/>
      <sheetName val="[Pharma CIs]__tgf_sharepoin_167"/>
      <sheetName val="[Pharma CIs]__tgf_sharepoin_166"/>
      <sheetName val="[Pharma CIs]__tgf_sharepoin_156"/>
      <sheetName val="[Pharma CIs]__tgf_sharepoin_144"/>
      <sheetName val="[Pharma CIs]__tgf_sharepoin_143"/>
      <sheetName val="[Pharma CIs]__tgf_sharepoin_135"/>
      <sheetName val="[Pharma CIs]__tgf_sharepoin_121"/>
      <sheetName val="[Pharma CIs]__tgf_sharepoin_123"/>
      <sheetName val="[Pharma CIs]__tgf_sharepoin_122"/>
      <sheetName val="[Pharma CIs]__tgf_sharepoin_124"/>
      <sheetName val="[Pharma CIs]__tgf_sharepoin_125"/>
      <sheetName val="[Pharma CIs]__tgf_sharepoin_128"/>
      <sheetName val="[Pharma CIs]__tgf_sharepoin_126"/>
      <sheetName val="[Pharma CIs]__tgf_sharepoin_127"/>
      <sheetName val="[Pharma CIs]__tgf_sharepoin_129"/>
      <sheetName val="[Pharma CIs]__tgf_sharepoin_131"/>
      <sheetName val="[Pharma CIs]__tgf_sharepoin_130"/>
      <sheetName val="[Pharma CIs]__tgf_sharepoin_134"/>
      <sheetName val="[Pharma CIs]__tgf_sharepoin_132"/>
      <sheetName val="[Pharma CIs]__tgf_sharepoin_133"/>
      <sheetName val="[Pharma CIs]__tgf_sharepoin_142"/>
      <sheetName val="[Pharma CIs]__tgf_sharepoin_136"/>
      <sheetName val="[Pharma CIs]__tgf_sharepoin_137"/>
      <sheetName val="[Pharma CIs]__tgf_sharepoin_138"/>
      <sheetName val="[Pharma CIs]__tgf_sharepoin_139"/>
      <sheetName val="[Pharma CIs]__tgf_sharepoin_140"/>
      <sheetName val="[Pharma CIs]__tgf_sharepoin_141"/>
      <sheetName val="[Pharma CIs]__tgf_sharepoin_145"/>
      <sheetName val="[Pharma CIs]__tgf_sharepoin_155"/>
      <sheetName val="[Pharma CIs]__tgf_sharepoin_146"/>
      <sheetName val="[Pharma CIs]__tgf_sharepoin_147"/>
      <sheetName val="[Pharma CIs]__tgf_sharepoin_148"/>
      <sheetName val="[Pharma CIs]__tgf_sharepoin_149"/>
      <sheetName val="[Pharma CIs]__tgf_sharepoin_150"/>
      <sheetName val="[Pharma CIs]__tgf_sharepoin_151"/>
      <sheetName val="[Pharma CIs]__tgf_sharepoin_152"/>
      <sheetName val="[Pharma CIs]__tgf_sharepoin_153"/>
      <sheetName val="[Pharma CIs]__tgf_sharepoin_154"/>
      <sheetName val="[Pharma CIs]__tgf_sharepoin_161"/>
      <sheetName val="[Pharma CIs]__tgf_sharepoin_158"/>
      <sheetName val="[Pharma CIs]__tgf_sharepoin_157"/>
      <sheetName val="[Pharma CIs]__tgf_sharepoin_159"/>
      <sheetName val="[Pharma CIs]__tgf_sharepoin_160"/>
      <sheetName val="[Pharma CIs]__tgf_sharepoin_165"/>
      <sheetName val="[Pharma CIs]__tgf_sharepoin_162"/>
      <sheetName val="[Pharma CIs]__tgf_sharepoin_163"/>
      <sheetName val="[Pharma CIs]__tgf_sharepoin_164"/>
      <sheetName val="[Pharma CIs]__tgf_sharepoin_168"/>
      <sheetName val="[Pharma CIs]__tgf_sharepoin_169"/>
      <sheetName val="[Pharma CIs]__tgf_sharepoin_173"/>
      <sheetName val="[Pharma CIs]__tgf_sharepoin_172"/>
      <sheetName val="[Pharma CIs]__tgf_sharepoin_174"/>
      <sheetName val="[Pharma CIs]__tgf_sharepoin_176"/>
      <sheetName val="[Pharma CIs]__tgf_sharepoin_183"/>
      <sheetName val="[Pharma CIs]__tgf_sharepoin_177"/>
      <sheetName val="[Pharma CIs]__tgf_sharepoin_181"/>
      <sheetName val="[Pharma CIs]__tgf_sharepoin_178"/>
      <sheetName val="[Pharma CIs]__tgf_sharepoin_179"/>
      <sheetName val="[Pharma CIs]__tgf_sharepoin_180"/>
      <sheetName val="[Pharma CIs]__tgf_sharepoin_182"/>
      <sheetName val="[Pharma CIs]__tgf_sharepoin_190"/>
      <sheetName val="[Pharma CIs]__tgf_sharepoin_185"/>
      <sheetName val="[Pharma CIs]__tgf_sharepoin_186"/>
      <sheetName val="[Pharma CIs]__tgf_sharepoin_187"/>
      <sheetName val="[Pharma CIs]__tgf_sharepoin_189"/>
      <sheetName val="[Pharma CIs]__tgf_sharepoin_188"/>
      <sheetName val="Pharma_CIs21"/>
      <sheetName val="[Pharma CIs]__tgf_sharepoin_191"/>
      <sheetName val="[Pharma CIs]__tgf_sharepoin_192"/>
      <sheetName val="[Pharma CIs]__tgf_sharepoin_193"/>
      <sheetName val="[Pharma CIs][Pharma CIs]__tgf_9"/>
      <sheetName val="[Pharma CIs][Pharma CIs]__tgf_7"/>
      <sheetName val="[Pharma CIs][Pharma CIs]__tgf_8"/>
      <sheetName val="[Pharma CIs][Pharma CIs]__tg_12"/>
      <sheetName val="[Pharma CIs][Pharma CIs]__tg_10"/>
      <sheetName val="[Pharma CIs][Pharma CIs]__tg_11"/>
      <sheetName val="[Pharma CIs][Pharma CIs]__tg_15"/>
      <sheetName val="[Pharma CIs][Pharma CIs]__tg_13"/>
      <sheetName val="[Pharma CIs][Pharma CIs]__tg_14"/>
      <sheetName val="[Pharma CIs][Pharma CIs]__tg_18"/>
      <sheetName val="[Pharma CIs][Pharma CIs]__tg_16"/>
      <sheetName val="[Pharma CIs][Pharma CIs]__tg_17"/>
      <sheetName val="[Pharma CIs][Pharma CIs]__tg_19"/>
      <sheetName val="[Pharma CIs][Pharma CIs]__tg_20"/>
      <sheetName val="[Pharma CIs][Pharma CIs]__tg_21"/>
      <sheetName val="Lieu"/>
      <sheetName val="Plans"/>
      <sheetName val="Range_Page8"/>
      <sheetName val="Budget_résumé3"/>
      <sheetName val="Range_Page7"/>
      <sheetName val="Budget_résumé2"/>
      <sheetName val="Budget_résumé1"/>
      <sheetName val="Range_Page6"/>
      <sheetName val="Range_Page9"/>
      <sheetName val="Budget_résumé4"/>
      <sheetName val="__tgf.sharepoint.com_Users_Faza"/>
      <sheetName val="[Pharma_CIs]__tgf_sharepoint__2"/>
      <sheetName val="[Pharma_CIs]__tgf_sharepoint__4"/>
      <sheetName val="[Pharma_CIs]__tgf_sharepoint__3"/>
      <sheetName val="[Pharma_CIs]__tgf_sharepoint__5"/>
      <sheetName val="[Pharma CIs][Pharma CIs]__tg_22"/>
      <sheetName val="[Pharma CIs][Pharma CIs]__tg_24"/>
      <sheetName val="[Pharma CIs][Pharma CIs]__tg_23"/>
      <sheetName val="//tgf.sharepoint.com/Users/Faza"/>
      <sheetName val="[Pharma CIs]__tgf_sharepoin_194"/>
      <sheetName val="[Pharma CIs]__tgf_sharepoin_195"/>
      <sheetName val="[Pharma CIs]__tgf_sharepoin_196"/>
      <sheetName val="[Pharma CIs]__tgf_sharepoin_197"/>
    </sheetNames>
    <sheetDataSet>
      <sheetData sheetId="0" refreshError="1">
        <row r="4">
          <cell r="C4" t="str">
            <v>FREQUENCE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4">
          <cell r="C4" t="str">
            <v>FREQUENCE</v>
          </cell>
        </row>
      </sheetData>
      <sheetData sheetId="44">
        <row r="3">
          <cell r="C3">
            <v>0</v>
          </cell>
        </row>
      </sheetData>
      <sheetData sheetId="45">
        <row r="2">
          <cell r="C2">
            <v>0</v>
          </cell>
        </row>
      </sheetData>
      <sheetData sheetId="46">
        <row r="2">
          <cell r="C2">
            <v>0</v>
          </cell>
        </row>
      </sheetData>
      <sheetData sheetId="47">
        <row r="2">
          <cell r="C2">
            <v>0</v>
          </cell>
        </row>
      </sheetData>
      <sheetData sheetId="48">
        <row r="2">
          <cell r="C2">
            <v>0</v>
          </cell>
        </row>
      </sheetData>
      <sheetData sheetId="49">
        <row r="2">
          <cell r="C2">
            <v>0</v>
          </cell>
        </row>
      </sheetData>
      <sheetData sheetId="50">
        <row r="3">
          <cell r="C3">
            <v>0</v>
          </cell>
        </row>
      </sheetData>
      <sheetData sheetId="51">
        <row r="4">
          <cell r="C4" t="str">
            <v>FREQUENCE</v>
          </cell>
        </row>
      </sheetData>
      <sheetData sheetId="52">
        <row r="4">
          <cell r="C4" t="str">
            <v>FREQUENCE</v>
          </cell>
        </row>
      </sheetData>
      <sheetData sheetId="53">
        <row r="4">
          <cell r="C4" t="str">
            <v>FREQUENCE</v>
          </cell>
        </row>
      </sheetData>
      <sheetData sheetId="54">
        <row r="4">
          <cell r="C4" t="str">
            <v>FREQUENCE</v>
          </cell>
        </row>
      </sheetData>
      <sheetData sheetId="55">
        <row r="2">
          <cell r="C2">
            <v>0</v>
          </cell>
        </row>
      </sheetData>
      <sheetData sheetId="56">
        <row r="4">
          <cell r="C4" t="str">
            <v>FREQUENCE</v>
          </cell>
        </row>
      </sheetData>
      <sheetData sheetId="57">
        <row r="4">
          <cell r="C4" t="str">
            <v>FREQUENCE</v>
          </cell>
        </row>
      </sheetData>
      <sheetData sheetId="58">
        <row r="4">
          <cell r="C4" t="str">
            <v>FREQUENCE</v>
          </cell>
        </row>
      </sheetData>
      <sheetData sheetId="59" refreshError="1"/>
      <sheetData sheetId="60">
        <row r="2">
          <cell r="C2">
            <v>0</v>
          </cell>
        </row>
      </sheetData>
      <sheetData sheetId="61">
        <row r="3">
          <cell r="C3">
            <v>0</v>
          </cell>
        </row>
      </sheetData>
      <sheetData sheetId="62">
        <row r="2">
          <cell r="C2">
            <v>0</v>
          </cell>
        </row>
      </sheetData>
      <sheetData sheetId="63">
        <row r="2">
          <cell r="C2">
            <v>0</v>
          </cell>
        </row>
      </sheetData>
      <sheetData sheetId="64">
        <row r="2">
          <cell r="C2">
            <v>0</v>
          </cell>
        </row>
      </sheetData>
      <sheetData sheetId="65">
        <row r="2">
          <cell r="C2">
            <v>0</v>
          </cell>
        </row>
      </sheetData>
      <sheetData sheetId="66">
        <row r="2">
          <cell r="C2">
            <v>0</v>
          </cell>
        </row>
      </sheetData>
      <sheetData sheetId="67">
        <row r="2">
          <cell r="C2">
            <v>0</v>
          </cell>
        </row>
      </sheetData>
      <sheetData sheetId="68">
        <row r="2">
          <cell r="C2">
            <v>0</v>
          </cell>
        </row>
      </sheetData>
      <sheetData sheetId="69">
        <row r="2">
          <cell r="C2">
            <v>0</v>
          </cell>
        </row>
      </sheetData>
      <sheetData sheetId="70">
        <row r="2">
          <cell r="C2">
            <v>0</v>
          </cell>
        </row>
      </sheetData>
      <sheetData sheetId="71">
        <row r="2">
          <cell r="C2">
            <v>0</v>
          </cell>
        </row>
      </sheetData>
      <sheetData sheetId="72">
        <row r="2">
          <cell r="C2">
            <v>0</v>
          </cell>
        </row>
      </sheetData>
      <sheetData sheetId="73">
        <row r="2">
          <cell r="C2">
            <v>0</v>
          </cell>
        </row>
      </sheetData>
      <sheetData sheetId="74">
        <row r="2">
          <cell r="C2">
            <v>0</v>
          </cell>
        </row>
      </sheetData>
      <sheetData sheetId="75">
        <row r="2">
          <cell r="C2">
            <v>0</v>
          </cell>
        </row>
      </sheetData>
      <sheetData sheetId="76">
        <row r="2">
          <cell r="C2">
            <v>0</v>
          </cell>
        </row>
      </sheetData>
      <sheetData sheetId="77">
        <row r="4">
          <cell r="C4" t="str">
            <v>FREQUENCE</v>
          </cell>
        </row>
      </sheetData>
      <sheetData sheetId="78">
        <row r="4">
          <cell r="C4" t="str">
            <v>FREQUENCE</v>
          </cell>
        </row>
      </sheetData>
      <sheetData sheetId="79">
        <row r="2">
          <cell r="C2">
            <v>0</v>
          </cell>
        </row>
      </sheetData>
      <sheetData sheetId="80">
        <row r="4">
          <cell r="C4" t="str">
            <v>FREQUENCE</v>
          </cell>
        </row>
      </sheetData>
      <sheetData sheetId="81">
        <row r="4">
          <cell r="C4" t="str">
            <v>FREQUENCE</v>
          </cell>
        </row>
      </sheetData>
      <sheetData sheetId="82">
        <row r="4">
          <cell r="C4" t="str">
            <v>FREQUENCE</v>
          </cell>
        </row>
      </sheetData>
      <sheetData sheetId="83">
        <row r="2">
          <cell r="C2">
            <v>0</v>
          </cell>
        </row>
      </sheetData>
      <sheetData sheetId="84">
        <row r="4">
          <cell r="C4" t="str">
            <v>FREQUENCE</v>
          </cell>
        </row>
      </sheetData>
      <sheetData sheetId="85">
        <row r="2">
          <cell r="C2">
            <v>0</v>
          </cell>
        </row>
      </sheetData>
      <sheetData sheetId="86">
        <row r="3">
          <cell r="C3">
            <v>0</v>
          </cell>
        </row>
      </sheetData>
      <sheetData sheetId="87">
        <row r="3">
          <cell r="C3">
            <v>0</v>
          </cell>
        </row>
      </sheetData>
      <sheetData sheetId="88">
        <row r="3">
          <cell r="C3">
            <v>0</v>
          </cell>
        </row>
      </sheetData>
      <sheetData sheetId="89">
        <row r="3">
          <cell r="C3">
            <v>0</v>
          </cell>
        </row>
      </sheetData>
      <sheetData sheetId="90">
        <row r="2">
          <cell r="C2">
            <v>0</v>
          </cell>
        </row>
      </sheetData>
      <sheetData sheetId="91">
        <row r="3">
          <cell r="C3">
            <v>0</v>
          </cell>
        </row>
      </sheetData>
      <sheetData sheetId="92" refreshError="1"/>
      <sheetData sheetId="93" refreshError="1"/>
      <sheetData sheetId="94">
        <row r="2">
          <cell r="C2">
            <v>0</v>
          </cell>
        </row>
      </sheetData>
      <sheetData sheetId="95" refreshError="1"/>
      <sheetData sheetId="96" refreshError="1"/>
      <sheetData sheetId="97" refreshError="1"/>
      <sheetData sheetId="98" refreshError="1"/>
      <sheetData sheetId="99">
        <row r="2">
          <cell r="C2">
            <v>0</v>
          </cell>
        </row>
      </sheetData>
      <sheetData sheetId="100">
        <row r="2">
          <cell r="C2">
            <v>0</v>
          </cell>
        </row>
      </sheetData>
      <sheetData sheetId="101">
        <row r="2">
          <cell r="C2">
            <v>0</v>
          </cell>
        </row>
      </sheetData>
      <sheetData sheetId="102">
        <row r="3">
          <cell r="C3">
            <v>0</v>
          </cell>
        </row>
      </sheetData>
      <sheetData sheetId="103">
        <row r="3">
          <cell r="C3">
            <v>0</v>
          </cell>
        </row>
      </sheetData>
      <sheetData sheetId="104">
        <row r="2">
          <cell r="C2">
            <v>0</v>
          </cell>
        </row>
      </sheetData>
      <sheetData sheetId="105">
        <row r="3">
          <cell r="C3">
            <v>0</v>
          </cell>
        </row>
      </sheetData>
      <sheetData sheetId="106">
        <row r="4">
          <cell r="C4" t="str">
            <v>FREQUENCE</v>
          </cell>
        </row>
      </sheetData>
      <sheetData sheetId="107">
        <row r="4">
          <cell r="C4" t="str">
            <v>FREQUENCE</v>
          </cell>
        </row>
      </sheetData>
      <sheetData sheetId="108">
        <row r="4">
          <cell r="C4" t="str">
            <v>FREQUENCE</v>
          </cell>
        </row>
      </sheetData>
      <sheetData sheetId="109">
        <row r="4">
          <cell r="C4" t="str">
            <v>FREQUENCE</v>
          </cell>
        </row>
      </sheetData>
      <sheetData sheetId="110">
        <row r="3">
          <cell r="C3">
            <v>0</v>
          </cell>
        </row>
      </sheetData>
      <sheetData sheetId="111">
        <row r="3">
          <cell r="C3">
            <v>0</v>
          </cell>
        </row>
      </sheetData>
      <sheetData sheetId="112">
        <row r="4">
          <cell r="C4" t="str">
            <v>FREQUENCE</v>
          </cell>
        </row>
      </sheetData>
      <sheetData sheetId="113">
        <row r="2">
          <cell r="C2">
            <v>0</v>
          </cell>
        </row>
      </sheetData>
      <sheetData sheetId="114">
        <row r="2">
          <cell r="C2">
            <v>0</v>
          </cell>
        </row>
      </sheetData>
      <sheetData sheetId="115">
        <row r="4">
          <cell r="C4" t="str">
            <v>FREQUENCE</v>
          </cell>
        </row>
      </sheetData>
      <sheetData sheetId="116">
        <row r="4">
          <cell r="C4" t="str">
            <v>FREQUENCE</v>
          </cell>
        </row>
      </sheetData>
      <sheetData sheetId="117">
        <row r="3">
          <cell r="C3">
            <v>0</v>
          </cell>
        </row>
      </sheetData>
      <sheetData sheetId="118">
        <row r="4">
          <cell r="C4" t="str">
            <v>FREQUENCE</v>
          </cell>
        </row>
      </sheetData>
      <sheetData sheetId="119">
        <row r="2">
          <cell r="C2">
            <v>0</v>
          </cell>
        </row>
      </sheetData>
      <sheetData sheetId="120" refreshError="1"/>
      <sheetData sheetId="121" refreshError="1"/>
      <sheetData sheetId="122">
        <row r="3">
          <cell r="C3">
            <v>0</v>
          </cell>
        </row>
      </sheetData>
      <sheetData sheetId="123">
        <row r="2">
          <cell r="C2">
            <v>0</v>
          </cell>
        </row>
      </sheetData>
      <sheetData sheetId="124">
        <row r="4">
          <cell r="C4" t="str">
            <v>FREQUENCE</v>
          </cell>
        </row>
      </sheetData>
      <sheetData sheetId="125">
        <row r="2">
          <cell r="C2">
            <v>0</v>
          </cell>
        </row>
      </sheetData>
      <sheetData sheetId="126">
        <row r="2">
          <cell r="C2">
            <v>0</v>
          </cell>
        </row>
      </sheetData>
      <sheetData sheetId="127">
        <row r="2">
          <cell r="C2">
            <v>0</v>
          </cell>
        </row>
      </sheetData>
      <sheetData sheetId="128">
        <row r="2">
          <cell r="C2">
            <v>0</v>
          </cell>
        </row>
      </sheetData>
      <sheetData sheetId="129">
        <row r="4">
          <cell r="C4" t="str">
            <v>FREQUENCE</v>
          </cell>
        </row>
      </sheetData>
      <sheetData sheetId="130">
        <row r="4">
          <cell r="C4" t="str">
            <v>FREQUENCE</v>
          </cell>
        </row>
      </sheetData>
      <sheetData sheetId="131">
        <row r="2">
          <cell r="C2">
            <v>0</v>
          </cell>
        </row>
      </sheetData>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ow r="2">
          <cell r="C2">
            <v>0</v>
          </cell>
        </row>
      </sheetData>
      <sheetData sheetId="174">
        <row r="4">
          <cell r="C4" t="str">
            <v>FREQUENCE</v>
          </cell>
        </row>
      </sheetData>
      <sheetData sheetId="175">
        <row r="3">
          <cell r="C3">
            <v>0</v>
          </cell>
        </row>
      </sheetData>
      <sheetData sheetId="176">
        <row r="3">
          <cell r="C3">
            <v>0</v>
          </cell>
        </row>
      </sheetData>
      <sheetData sheetId="177">
        <row r="2">
          <cell r="C2">
            <v>0</v>
          </cell>
        </row>
      </sheetData>
      <sheetData sheetId="178">
        <row r="2">
          <cell r="C2">
            <v>0</v>
          </cell>
        </row>
      </sheetData>
      <sheetData sheetId="179">
        <row r="2">
          <cell r="C2">
            <v>0</v>
          </cell>
        </row>
      </sheetData>
      <sheetData sheetId="180">
        <row r="3">
          <cell r="C3">
            <v>0</v>
          </cell>
        </row>
      </sheetData>
      <sheetData sheetId="181">
        <row r="2">
          <cell r="C2">
            <v>0</v>
          </cell>
        </row>
      </sheetData>
      <sheetData sheetId="182">
        <row r="2">
          <cell r="C2">
            <v>0</v>
          </cell>
        </row>
      </sheetData>
      <sheetData sheetId="183">
        <row r="2">
          <cell r="C2">
            <v>0</v>
          </cell>
        </row>
      </sheetData>
      <sheetData sheetId="184">
        <row r="2">
          <cell r="C2">
            <v>0</v>
          </cell>
        </row>
      </sheetData>
      <sheetData sheetId="185">
        <row r="2">
          <cell r="C2">
            <v>0</v>
          </cell>
        </row>
      </sheetData>
      <sheetData sheetId="186">
        <row r="2">
          <cell r="C2">
            <v>0</v>
          </cell>
        </row>
      </sheetData>
      <sheetData sheetId="187">
        <row r="2">
          <cell r="C2">
            <v>0</v>
          </cell>
        </row>
      </sheetData>
      <sheetData sheetId="188">
        <row r="2">
          <cell r="C2">
            <v>0</v>
          </cell>
        </row>
      </sheetData>
      <sheetData sheetId="189">
        <row r="4">
          <cell r="C4" t="str">
            <v>FREQUENCE</v>
          </cell>
        </row>
      </sheetData>
      <sheetData sheetId="190">
        <row r="2">
          <cell r="C2">
            <v>0</v>
          </cell>
        </row>
      </sheetData>
      <sheetData sheetId="191">
        <row r="2">
          <cell r="C2">
            <v>0</v>
          </cell>
        </row>
      </sheetData>
      <sheetData sheetId="192">
        <row r="2">
          <cell r="C2">
            <v>0</v>
          </cell>
        </row>
      </sheetData>
      <sheetData sheetId="193">
        <row r="2">
          <cell r="C2">
            <v>0</v>
          </cell>
        </row>
      </sheetData>
      <sheetData sheetId="194">
        <row r="2">
          <cell r="C2">
            <v>0</v>
          </cell>
        </row>
      </sheetData>
      <sheetData sheetId="195">
        <row r="2">
          <cell r="C2">
            <v>0</v>
          </cell>
        </row>
      </sheetData>
      <sheetData sheetId="196">
        <row r="2">
          <cell r="C2">
            <v>0</v>
          </cell>
        </row>
      </sheetData>
      <sheetData sheetId="197">
        <row r="2">
          <cell r="C2">
            <v>0</v>
          </cell>
        </row>
      </sheetData>
      <sheetData sheetId="198">
        <row r="2">
          <cell r="C2">
            <v>0</v>
          </cell>
        </row>
      </sheetData>
      <sheetData sheetId="199">
        <row r="3">
          <cell r="C3">
            <v>0</v>
          </cell>
        </row>
      </sheetData>
      <sheetData sheetId="200">
        <row r="2">
          <cell r="C2">
            <v>0</v>
          </cell>
        </row>
      </sheetData>
      <sheetData sheetId="201">
        <row r="2">
          <cell r="C2">
            <v>0</v>
          </cell>
        </row>
      </sheetData>
      <sheetData sheetId="202">
        <row r="2">
          <cell r="C2">
            <v>0</v>
          </cell>
        </row>
      </sheetData>
      <sheetData sheetId="203">
        <row r="2">
          <cell r="C2">
            <v>0</v>
          </cell>
        </row>
      </sheetData>
      <sheetData sheetId="204">
        <row r="2">
          <cell r="C2">
            <v>0</v>
          </cell>
        </row>
      </sheetData>
      <sheetData sheetId="205">
        <row r="2">
          <cell r="C2">
            <v>0</v>
          </cell>
        </row>
      </sheetData>
      <sheetData sheetId="206">
        <row r="2">
          <cell r="C2">
            <v>0</v>
          </cell>
        </row>
      </sheetData>
      <sheetData sheetId="207">
        <row r="2">
          <cell r="C2">
            <v>0</v>
          </cell>
        </row>
      </sheetData>
      <sheetData sheetId="208">
        <row r="2">
          <cell r="C2">
            <v>0</v>
          </cell>
        </row>
      </sheetData>
      <sheetData sheetId="209">
        <row r="2">
          <cell r="C2">
            <v>0</v>
          </cell>
        </row>
      </sheetData>
      <sheetData sheetId="210">
        <row r="2">
          <cell r="C2">
            <v>0</v>
          </cell>
        </row>
      </sheetData>
      <sheetData sheetId="211">
        <row r="2">
          <cell r="C2">
            <v>0</v>
          </cell>
        </row>
      </sheetData>
      <sheetData sheetId="212">
        <row r="2">
          <cell r="C2">
            <v>0</v>
          </cell>
        </row>
      </sheetData>
      <sheetData sheetId="213">
        <row r="2">
          <cell r="C2">
            <v>0</v>
          </cell>
        </row>
      </sheetData>
      <sheetData sheetId="214">
        <row r="2">
          <cell r="C2">
            <v>0</v>
          </cell>
        </row>
      </sheetData>
      <sheetData sheetId="215">
        <row r="2">
          <cell r="C2">
            <v>0</v>
          </cell>
        </row>
      </sheetData>
      <sheetData sheetId="216">
        <row r="3">
          <cell r="C3">
            <v>0</v>
          </cell>
        </row>
      </sheetData>
      <sheetData sheetId="217">
        <row r="2">
          <cell r="C2">
            <v>0</v>
          </cell>
        </row>
      </sheetData>
      <sheetData sheetId="218">
        <row r="2">
          <cell r="C2">
            <v>0</v>
          </cell>
        </row>
      </sheetData>
      <sheetData sheetId="219">
        <row r="2">
          <cell r="C2">
            <v>0</v>
          </cell>
        </row>
      </sheetData>
      <sheetData sheetId="220">
        <row r="2">
          <cell r="C2">
            <v>0</v>
          </cell>
        </row>
      </sheetData>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ow r="5">
          <cell r="C5">
            <v>0</v>
          </cell>
        </row>
      </sheetData>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row r="4">
          <cell r="C4" t="str">
            <v>FREQUENCE</v>
          </cell>
        </row>
      </sheetData>
      <sheetData sheetId="451"/>
      <sheetData sheetId="452">
        <row r="4">
          <cell r="C4" t="str">
            <v>FREQUENCE</v>
          </cell>
        </row>
      </sheetData>
      <sheetData sheetId="453">
        <row r="4">
          <cell r="C4" t="str">
            <v>FREQUENCE</v>
          </cell>
        </row>
      </sheetData>
      <sheetData sheetId="454">
        <row r="4">
          <cell r="C4" t="str">
            <v>FREQUENCE</v>
          </cell>
        </row>
      </sheetData>
      <sheetData sheetId="455">
        <row r="4">
          <cell r="C4" t="str">
            <v>FREQUENCE</v>
          </cell>
        </row>
      </sheetData>
      <sheetData sheetId="456">
        <row r="4">
          <cell r="C4" t="str">
            <v>FREQUENCE</v>
          </cell>
        </row>
      </sheetData>
      <sheetData sheetId="457">
        <row r="4">
          <cell r="C4" t="str">
            <v>FREQUENCE</v>
          </cell>
        </row>
      </sheetData>
      <sheetData sheetId="458">
        <row r="4">
          <cell r="C4" t="str">
            <v>FREQUENCE</v>
          </cell>
        </row>
      </sheetData>
      <sheetData sheetId="459">
        <row r="4">
          <cell r="C4" t="str">
            <v>FREQUENCE</v>
          </cell>
        </row>
      </sheetData>
      <sheetData sheetId="460">
        <row r="4">
          <cell r="C4" t="str">
            <v>FREQUENCE</v>
          </cell>
        </row>
      </sheetData>
      <sheetData sheetId="461">
        <row r="4">
          <cell r="C4" t="str">
            <v>FREQUENCE</v>
          </cell>
        </row>
      </sheetData>
      <sheetData sheetId="462">
        <row r="4">
          <cell r="C4" t="str">
            <v>FREQUENCE</v>
          </cell>
        </row>
      </sheetData>
      <sheetData sheetId="463">
        <row r="4">
          <cell r="C4" t="str">
            <v>FREQUENCE</v>
          </cell>
        </row>
      </sheetData>
      <sheetData sheetId="464">
        <row r="4">
          <cell r="C4" t="str">
            <v>FREQUENCE</v>
          </cell>
        </row>
      </sheetData>
      <sheetData sheetId="465">
        <row r="4">
          <cell r="C4" t="str">
            <v>FREQUENCE</v>
          </cell>
        </row>
      </sheetData>
      <sheetData sheetId="466">
        <row r="4">
          <cell r="C4" t="str">
            <v>FREQUENCE</v>
          </cell>
        </row>
      </sheetData>
      <sheetData sheetId="467">
        <row r="2">
          <cell r="C2">
            <v>0</v>
          </cell>
        </row>
      </sheetData>
      <sheetData sheetId="468">
        <row r="4">
          <cell r="C4" t="str">
            <v>FREQUENCE</v>
          </cell>
        </row>
      </sheetData>
      <sheetData sheetId="469">
        <row r="2">
          <cell r="C2">
            <v>0</v>
          </cell>
        </row>
      </sheetData>
      <sheetData sheetId="470">
        <row r="2">
          <cell r="C2">
            <v>0</v>
          </cell>
        </row>
      </sheetData>
      <sheetData sheetId="471">
        <row r="2">
          <cell r="C2">
            <v>0</v>
          </cell>
        </row>
      </sheetData>
      <sheetData sheetId="472">
        <row r="2">
          <cell r="C2">
            <v>0</v>
          </cell>
        </row>
      </sheetData>
      <sheetData sheetId="473">
        <row r="2">
          <cell r="C2">
            <v>0</v>
          </cell>
        </row>
      </sheetData>
      <sheetData sheetId="474">
        <row r="2">
          <cell r="C2">
            <v>0</v>
          </cell>
        </row>
      </sheetData>
      <sheetData sheetId="475">
        <row r="3">
          <cell r="C3">
            <v>0</v>
          </cell>
        </row>
      </sheetData>
      <sheetData sheetId="476">
        <row r="2">
          <cell r="C2">
            <v>0</v>
          </cell>
        </row>
      </sheetData>
      <sheetData sheetId="477">
        <row r="3">
          <cell r="C3">
            <v>0</v>
          </cell>
        </row>
      </sheetData>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ow r="4">
          <cell r="C4" t="str">
            <v>FREQUENCE</v>
          </cell>
        </row>
      </sheetData>
      <sheetData sheetId="583"/>
      <sheetData sheetId="584">
        <row r="4">
          <cell r="C4" t="str">
            <v>FREQUENCE</v>
          </cell>
        </row>
      </sheetData>
      <sheetData sheetId="585">
        <row r="4">
          <cell r="C4" t="str">
            <v>FREQUENCE</v>
          </cell>
        </row>
      </sheetData>
      <sheetData sheetId="586">
        <row r="4">
          <cell r="C4" t="str">
            <v>FREQUENCE</v>
          </cell>
        </row>
      </sheetData>
      <sheetData sheetId="587">
        <row r="4">
          <cell r="C4" t="str">
            <v>FREQUENCE</v>
          </cell>
        </row>
      </sheetData>
      <sheetData sheetId="588">
        <row r="4">
          <cell r="C4" t="str">
            <v>FREQUENCE</v>
          </cell>
        </row>
      </sheetData>
      <sheetData sheetId="589">
        <row r="4">
          <cell r="C4" t="str">
            <v>FREQUENCE</v>
          </cell>
        </row>
      </sheetData>
      <sheetData sheetId="590">
        <row r="4">
          <cell r="C4" t="str">
            <v>FREQUENCE</v>
          </cell>
        </row>
      </sheetData>
      <sheetData sheetId="591">
        <row r="4">
          <cell r="C4" t="str">
            <v>FREQUENCE</v>
          </cell>
        </row>
      </sheetData>
      <sheetData sheetId="592">
        <row r="4">
          <cell r="C4" t="str">
            <v>FREQUENCE</v>
          </cell>
        </row>
      </sheetData>
      <sheetData sheetId="593">
        <row r="4">
          <cell r="C4" t="str">
            <v>FREQUENCE</v>
          </cell>
        </row>
      </sheetData>
      <sheetData sheetId="594">
        <row r="4">
          <cell r="C4" t="str">
            <v>FREQUENCE</v>
          </cell>
        </row>
      </sheetData>
      <sheetData sheetId="595">
        <row r="4">
          <cell r="C4" t="str">
            <v>FREQUENCE</v>
          </cell>
        </row>
      </sheetData>
      <sheetData sheetId="596">
        <row r="4">
          <cell r="C4" t="str">
            <v>FREQUENCE</v>
          </cell>
        </row>
      </sheetData>
      <sheetData sheetId="597">
        <row r="4">
          <cell r="C4" t="str">
            <v>FREQUENCE</v>
          </cell>
        </row>
      </sheetData>
      <sheetData sheetId="598">
        <row r="4">
          <cell r="C4" t="str">
            <v>FREQUENCE</v>
          </cell>
        </row>
      </sheetData>
      <sheetData sheetId="599">
        <row r="2">
          <cell r="C2">
            <v>0</v>
          </cell>
        </row>
      </sheetData>
      <sheetData sheetId="600">
        <row r="4">
          <cell r="C4" t="str">
            <v>FREQUENCE</v>
          </cell>
        </row>
      </sheetData>
      <sheetData sheetId="601">
        <row r="2">
          <cell r="C2">
            <v>0</v>
          </cell>
        </row>
      </sheetData>
      <sheetData sheetId="602">
        <row r="2">
          <cell r="C2">
            <v>0</v>
          </cell>
        </row>
      </sheetData>
      <sheetData sheetId="603">
        <row r="2">
          <cell r="C2">
            <v>0</v>
          </cell>
        </row>
      </sheetData>
      <sheetData sheetId="604">
        <row r="2">
          <cell r="C2">
            <v>0</v>
          </cell>
        </row>
      </sheetData>
      <sheetData sheetId="605">
        <row r="2">
          <cell r="C2">
            <v>0</v>
          </cell>
        </row>
      </sheetData>
      <sheetData sheetId="606">
        <row r="2">
          <cell r="C2">
            <v>0</v>
          </cell>
        </row>
      </sheetData>
      <sheetData sheetId="607">
        <row r="3">
          <cell r="C3">
            <v>0</v>
          </cell>
        </row>
      </sheetData>
      <sheetData sheetId="608">
        <row r="2">
          <cell r="C2">
            <v>0</v>
          </cell>
        </row>
      </sheetData>
      <sheetData sheetId="609">
        <row r="2">
          <cell r="C2">
            <v>0</v>
          </cell>
        </row>
      </sheetData>
      <sheetData sheetId="610">
        <row r="2">
          <cell r="C2">
            <v>0</v>
          </cell>
        </row>
      </sheetData>
      <sheetData sheetId="611">
        <row r="2">
          <cell r="C2">
            <v>0</v>
          </cell>
        </row>
      </sheetData>
      <sheetData sheetId="612">
        <row r="2">
          <cell r="C2">
            <v>0</v>
          </cell>
        </row>
      </sheetData>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row r="4">
          <cell r="C4" t="str">
            <v>FREQUENCE</v>
          </cell>
        </row>
      </sheetData>
      <sheetData sheetId="627"/>
      <sheetData sheetId="628">
        <row r="4">
          <cell r="C4" t="str">
            <v>FREQUENCE</v>
          </cell>
        </row>
      </sheetData>
      <sheetData sheetId="629">
        <row r="4">
          <cell r="C4" t="str">
            <v>FREQUENCE</v>
          </cell>
        </row>
      </sheetData>
      <sheetData sheetId="630">
        <row r="4">
          <cell r="C4" t="str">
            <v>FREQUENCE</v>
          </cell>
        </row>
      </sheetData>
      <sheetData sheetId="631">
        <row r="4">
          <cell r="C4" t="str">
            <v>FREQUENCE</v>
          </cell>
        </row>
      </sheetData>
      <sheetData sheetId="632">
        <row r="4">
          <cell r="C4" t="str">
            <v>FREQUENCE</v>
          </cell>
        </row>
      </sheetData>
      <sheetData sheetId="633">
        <row r="4">
          <cell r="C4" t="str">
            <v>FREQUENCE</v>
          </cell>
        </row>
      </sheetData>
      <sheetData sheetId="634">
        <row r="4">
          <cell r="C4" t="str">
            <v>FREQUENCE</v>
          </cell>
        </row>
      </sheetData>
      <sheetData sheetId="635">
        <row r="4">
          <cell r="C4" t="str">
            <v>FREQUENCE</v>
          </cell>
        </row>
      </sheetData>
      <sheetData sheetId="636">
        <row r="4">
          <cell r="C4" t="str">
            <v>FREQUENCE</v>
          </cell>
        </row>
      </sheetData>
      <sheetData sheetId="637">
        <row r="4">
          <cell r="C4" t="str">
            <v>FREQUENCE</v>
          </cell>
        </row>
      </sheetData>
      <sheetData sheetId="638">
        <row r="4">
          <cell r="C4" t="str">
            <v>FREQUENCE</v>
          </cell>
        </row>
      </sheetData>
      <sheetData sheetId="639">
        <row r="4">
          <cell r="C4" t="str">
            <v>FREQUENCE</v>
          </cell>
        </row>
      </sheetData>
      <sheetData sheetId="640">
        <row r="4">
          <cell r="C4" t="str">
            <v>FREQUENCE</v>
          </cell>
        </row>
      </sheetData>
      <sheetData sheetId="641">
        <row r="4">
          <cell r="C4" t="str">
            <v>FREQUENCE</v>
          </cell>
        </row>
      </sheetData>
      <sheetData sheetId="642">
        <row r="4">
          <cell r="C4" t="str">
            <v>FREQUENCE</v>
          </cell>
        </row>
      </sheetData>
      <sheetData sheetId="643">
        <row r="2">
          <cell r="C2">
            <v>0</v>
          </cell>
        </row>
      </sheetData>
      <sheetData sheetId="644">
        <row r="4">
          <cell r="C4" t="str">
            <v>FREQUENCE</v>
          </cell>
        </row>
      </sheetData>
      <sheetData sheetId="645">
        <row r="2">
          <cell r="C2">
            <v>0</v>
          </cell>
        </row>
      </sheetData>
      <sheetData sheetId="646">
        <row r="2">
          <cell r="C2">
            <v>0</v>
          </cell>
        </row>
      </sheetData>
      <sheetData sheetId="647">
        <row r="2">
          <cell r="C2">
            <v>0</v>
          </cell>
        </row>
      </sheetData>
      <sheetData sheetId="648">
        <row r="2">
          <cell r="C2">
            <v>0</v>
          </cell>
        </row>
      </sheetData>
      <sheetData sheetId="649">
        <row r="2">
          <cell r="C2">
            <v>0</v>
          </cell>
        </row>
      </sheetData>
      <sheetData sheetId="650">
        <row r="2">
          <cell r="C2">
            <v>0</v>
          </cell>
        </row>
      </sheetData>
      <sheetData sheetId="651">
        <row r="3">
          <cell r="C3">
            <v>0</v>
          </cell>
        </row>
      </sheetData>
      <sheetData sheetId="652">
        <row r="2">
          <cell r="C2">
            <v>0</v>
          </cell>
        </row>
      </sheetData>
      <sheetData sheetId="653">
        <row r="2">
          <cell r="C2">
            <v>0</v>
          </cell>
        </row>
      </sheetData>
      <sheetData sheetId="654">
        <row r="2">
          <cell r="C2">
            <v>0</v>
          </cell>
        </row>
      </sheetData>
      <sheetData sheetId="655">
        <row r="2">
          <cell r="C2">
            <v>0</v>
          </cell>
        </row>
      </sheetData>
      <sheetData sheetId="656">
        <row r="2">
          <cell r="C2">
            <v>0</v>
          </cell>
        </row>
      </sheetData>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row r="4">
          <cell r="C4" t="str">
            <v>FREQUENCE</v>
          </cell>
        </row>
      </sheetData>
      <sheetData sheetId="671"/>
      <sheetData sheetId="672">
        <row r="4">
          <cell r="C4" t="str">
            <v>FREQUENCE</v>
          </cell>
        </row>
      </sheetData>
      <sheetData sheetId="673">
        <row r="4">
          <cell r="C4" t="str">
            <v>FREQUENCE</v>
          </cell>
        </row>
      </sheetData>
      <sheetData sheetId="674">
        <row r="4">
          <cell r="C4" t="str">
            <v>FREQUENCE</v>
          </cell>
        </row>
      </sheetData>
      <sheetData sheetId="675">
        <row r="4">
          <cell r="C4" t="str">
            <v>FREQUENCE</v>
          </cell>
        </row>
      </sheetData>
      <sheetData sheetId="676">
        <row r="4">
          <cell r="C4" t="str">
            <v>FREQUENCE</v>
          </cell>
        </row>
      </sheetData>
      <sheetData sheetId="677">
        <row r="4">
          <cell r="C4" t="str">
            <v>FREQUENCE</v>
          </cell>
        </row>
      </sheetData>
      <sheetData sheetId="678">
        <row r="4">
          <cell r="C4" t="str">
            <v>FREQUENCE</v>
          </cell>
        </row>
      </sheetData>
      <sheetData sheetId="679">
        <row r="4">
          <cell r="C4" t="str">
            <v>FREQUENCE</v>
          </cell>
        </row>
      </sheetData>
      <sheetData sheetId="680">
        <row r="4">
          <cell r="C4" t="str">
            <v>FREQUENCE</v>
          </cell>
        </row>
      </sheetData>
      <sheetData sheetId="681">
        <row r="4">
          <cell r="C4" t="str">
            <v>FREQUENCE</v>
          </cell>
        </row>
      </sheetData>
      <sheetData sheetId="682">
        <row r="4">
          <cell r="C4" t="str">
            <v>FREQUENCE</v>
          </cell>
        </row>
      </sheetData>
      <sheetData sheetId="683">
        <row r="4">
          <cell r="C4" t="str">
            <v>FREQUENCE</v>
          </cell>
        </row>
      </sheetData>
      <sheetData sheetId="684">
        <row r="4">
          <cell r="C4" t="str">
            <v>FREQUENCE</v>
          </cell>
        </row>
      </sheetData>
      <sheetData sheetId="685">
        <row r="4">
          <cell r="C4" t="str">
            <v>FREQUENCE</v>
          </cell>
        </row>
      </sheetData>
      <sheetData sheetId="686">
        <row r="4">
          <cell r="C4" t="str">
            <v>FREQUENCE</v>
          </cell>
        </row>
      </sheetData>
      <sheetData sheetId="687">
        <row r="2">
          <cell r="C2">
            <v>0</v>
          </cell>
        </row>
      </sheetData>
      <sheetData sheetId="688">
        <row r="4">
          <cell r="C4" t="str">
            <v>FREQUENCE</v>
          </cell>
        </row>
      </sheetData>
      <sheetData sheetId="689">
        <row r="2">
          <cell r="C2">
            <v>0</v>
          </cell>
        </row>
      </sheetData>
      <sheetData sheetId="690">
        <row r="2">
          <cell r="C2">
            <v>0</v>
          </cell>
        </row>
      </sheetData>
      <sheetData sheetId="691">
        <row r="2">
          <cell r="C2">
            <v>0</v>
          </cell>
        </row>
      </sheetData>
      <sheetData sheetId="692">
        <row r="2">
          <cell r="C2">
            <v>0</v>
          </cell>
        </row>
      </sheetData>
      <sheetData sheetId="693">
        <row r="2">
          <cell r="C2">
            <v>0</v>
          </cell>
        </row>
      </sheetData>
      <sheetData sheetId="694">
        <row r="2">
          <cell r="C2">
            <v>0</v>
          </cell>
        </row>
      </sheetData>
      <sheetData sheetId="695">
        <row r="3">
          <cell r="C3">
            <v>0</v>
          </cell>
        </row>
      </sheetData>
      <sheetData sheetId="696">
        <row r="2">
          <cell r="C2">
            <v>0</v>
          </cell>
        </row>
      </sheetData>
      <sheetData sheetId="697">
        <row r="2">
          <cell r="C2">
            <v>0</v>
          </cell>
        </row>
      </sheetData>
      <sheetData sheetId="698">
        <row r="2">
          <cell r="C2">
            <v>0</v>
          </cell>
        </row>
      </sheetData>
      <sheetData sheetId="699">
        <row r="2">
          <cell r="C2">
            <v>0</v>
          </cell>
        </row>
      </sheetData>
      <sheetData sheetId="700">
        <row r="2">
          <cell r="C2">
            <v>0</v>
          </cell>
        </row>
      </sheetData>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row r="4">
          <cell r="C4" t="str">
            <v>FREQUENCE</v>
          </cell>
        </row>
      </sheetData>
      <sheetData sheetId="715"/>
      <sheetData sheetId="716">
        <row r="4">
          <cell r="C4" t="str">
            <v>FREQUENCE</v>
          </cell>
        </row>
      </sheetData>
      <sheetData sheetId="717">
        <row r="4">
          <cell r="C4" t="str">
            <v>FREQUENCE</v>
          </cell>
        </row>
      </sheetData>
      <sheetData sheetId="718">
        <row r="4">
          <cell r="C4" t="str">
            <v>FREQUENCE</v>
          </cell>
        </row>
      </sheetData>
      <sheetData sheetId="719">
        <row r="4">
          <cell r="C4" t="str">
            <v>FREQUENCE</v>
          </cell>
        </row>
      </sheetData>
      <sheetData sheetId="720">
        <row r="4">
          <cell r="C4" t="str">
            <v>FREQUENCE</v>
          </cell>
        </row>
      </sheetData>
      <sheetData sheetId="721">
        <row r="4">
          <cell r="C4" t="str">
            <v>FREQUENCE</v>
          </cell>
        </row>
      </sheetData>
      <sheetData sheetId="722">
        <row r="4">
          <cell r="C4" t="str">
            <v>FREQUENCE</v>
          </cell>
        </row>
      </sheetData>
      <sheetData sheetId="723">
        <row r="4">
          <cell r="C4" t="str">
            <v>FREQUENCE</v>
          </cell>
        </row>
      </sheetData>
      <sheetData sheetId="724">
        <row r="4">
          <cell r="C4" t="str">
            <v>FREQUENCE</v>
          </cell>
        </row>
      </sheetData>
      <sheetData sheetId="725">
        <row r="4">
          <cell r="C4" t="str">
            <v>FREQUENCE</v>
          </cell>
        </row>
      </sheetData>
      <sheetData sheetId="726">
        <row r="4">
          <cell r="C4" t="str">
            <v>FREQUENCE</v>
          </cell>
        </row>
      </sheetData>
      <sheetData sheetId="727">
        <row r="4">
          <cell r="C4" t="str">
            <v>FREQUENCE</v>
          </cell>
        </row>
      </sheetData>
      <sheetData sheetId="728">
        <row r="4">
          <cell r="C4" t="str">
            <v>FREQUENCE</v>
          </cell>
        </row>
      </sheetData>
      <sheetData sheetId="729">
        <row r="4">
          <cell r="C4" t="str">
            <v>FREQUENCE</v>
          </cell>
        </row>
      </sheetData>
      <sheetData sheetId="730">
        <row r="4">
          <cell r="C4" t="str">
            <v>FREQUENCE</v>
          </cell>
        </row>
      </sheetData>
      <sheetData sheetId="731">
        <row r="2">
          <cell r="C2">
            <v>0</v>
          </cell>
        </row>
      </sheetData>
      <sheetData sheetId="732">
        <row r="4">
          <cell r="C4" t="str">
            <v>FREQUENCE</v>
          </cell>
        </row>
      </sheetData>
      <sheetData sheetId="733">
        <row r="2">
          <cell r="C2">
            <v>0</v>
          </cell>
        </row>
      </sheetData>
      <sheetData sheetId="734">
        <row r="2">
          <cell r="C2">
            <v>0</v>
          </cell>
        </row>
      </sheetData>
      <sheetData sheetId="735">
        <row r="2">
          <cell r="C2">
            <v>0</v>
          </cell>
        </row>
      </sheetData>
      <sheetData sheetId="736">
        <row r="2">
          <cell r="C2">
            <v>0</v>
          </cell>
        </row>
      </sheetData>
      <sheetData sheetId="737">
        <row r="2">
          <cell r="C2">
            <v>0</v>
          </cell>
        </row>
      </sheetData>
      <sheetData sheetId="738">
        <row r="2">
          <cell r="C2">
            <v>0</v>
          </cell>
        </row>
      </sheetData>
      <sheetData sheetId="739">
        <row r="3">
          <cell r="C3">
            <v>0</v>
          </cell>
        </row>
      </sheetData>
      <sheetData sheetId="740">
        <row r="2">
          <cell r="C2">
            <v>0</v>
          </cell>
        </row>
      </sheetData>
      <sheetData sheetId="741">
        <row r="2">
          <cell r="C2">
            <v>0</v>
          </cell>
        </row>
      </sheetData>
      <sheetData sheetId="742">
        <row r="2">
          <cell r="C2">
            <v>0</v>
          </cell>
        </row>
      </sheetData>
      <sheetData sheetId="743">
        <row r="2">
          <cell r="C2">
            <v>0</v>
          </cell>
        </row>
      </sheetData>
      <sheetData sheetId="744">
        <row r="2">
          <cell r="C2">
            <v>0</v>
          </cell>
        </row>
      </sheetData>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sheetData sheetId="898"/>
      <sheetData sheetId="899"/>
      <sheetData sheetId="900"/>
      <sheetData sheetId="901"/>
      <sheetData sheetId="902"/>
      <sheetData sheetId="903"/>
      <sheetData sheetId="904"/>
      <sheetData sheetId="905" refreshError="1"/>
      <sheetData sheetId="906"/>
      <sheetData sheetId="907"/>
      <sheetData sheetId="908"/>
      <sheetData sheetId="909"/>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S_ESP"/>
      <sheetName val="DOCUMENTS_FRA"/>
      <sheetName val="DOCUMENTS_ENG"/>
      <sheetName val="SETUP"/>
      <sheetName val="SEARCH"/>
      <sheetName val="HIV-Key Info"/>
      <sheetName val="HIV-Pharmaceuticals"/>
      <sheetName val="HIV-Equipment"/>
      <sheetName val="HIV-Other HPs"/>
      <sheetName val="TB-Key Info"/>
      <sheetName val="TB-Pharmaceuticals"/>
      <sheetName val="TB-EQUIPMENT &amp; OTHER HPs"/>
      <sheetName val="Malaria-Key Info"/>
      <sheetName val="Malaria-Pharmaceuticals"/>
      <sheetName val="Malaria-Equipment &amp; Other HPs"/>
      <sheetName val="COVID"/>
      <sheetName val="HPM costs"/>
      <sheetName val="RSSH- HPM &amp;Lab System"/>
      <sheetName val="Detailed Budget"/>
      <sheetName val="PMsheet"/>
      <sheetName val="Language"/>
      <sheetName val="Grant"/>
      <sheetName val="Cost Input SB"/>
      <sheetName val="Mod Int SB"/>
      <sheetName val="Mod Int with HIV KP SB"/>
      <sheetName val="HIV Aggregation SB"/>
      <sheetName val="Population SB"/>
      <sheetName val="Blank Pivot"/>
      <sheetName val="HPM LIST"/>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тегорія витрат"/>
      <sheetName val="Налаштування"/>
      <sheetName val="Законы распределения"/>
      <sheetName val="Додаток 3._Бюджет_Адмін"/>
      <sheetName val="Додаток 3._Бюджет детальний ПР"/>
      <sheetName val="Напрямки конкурса"/>
      <sheetName val="Категорія витрат в напрямках"/>
      <sheetName val="Сводная для рабочего плана"/>
      <sheetName val="Для персоналу проекту"/>
      <sheetName val="Додаток 3.Бюджет проекту"/>
      <sheetName val="Додаток 3.1 Бюджет проекту А "/>
      <sheetName val="Додаток 3.2 Бюджет проекту М"/>
      <sheetName val="Додаток 3.5. Прогноз ТМЦ"/>
      <sheetName val="Додаток 3. Бюджет проекту"/>
      <sheetName val="Додаток 3. Робочий план"/>
      <sheetName val="Програмний персонал проекту"/>
      <sheetName val="Функціонал в проекті"/>
      <sheetName val="ПОРІВНЯННЯ"/>
      <sheetName val="Додаток 3.4. Робочий план"/>
      <sheetName val="Лист1"/>
      <sheetName val="Приклад бюджету"/>
      <sheetName val="Персонал проекту"/>
      <sheetName val="Питання"/>
      <sheetName val="Категорії витрат"/>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ersion History"/>
      <sheetName val="Setup"/>
      <sheetName val="Detailed Budget"/>
      <sheetName val="Detailed Budget_PHC"/>
      <sheetName val="Detailed Budget_APH"/>
      <sheetName val="Assumptions Other_PHC"/>
      <sheetName val="Assumptions Other_APH"/>
      <sheetName val="Assumptions Other_AUN"/>
      <sheetName val="Assumptions TRC_PHC"/>
      <sheetName val="Assumptions TRC_APH"/>
      <sheetName val="Assumptions TRC_AUN"/>
      <sheetName val="Assumptions HR_APH"/>
      <sheetName val="Assumptions HR_AUN"/>
      <sheetName val="HP_PHC"/>
      <sheetName val="HP_APH"/>
      <sheetName val="Sheet1"/>
      <sheetName val="HP_AUN"/>
      <sheetName val="Budget Summary"/>
      <sheetName val="Budget Summary En"/>
      <sheetName val="Summary by Intervention"/>
      <sheetName val="Summary by Cost Input"/>
      <sheetName val="Additional Summary"/>
      <sheetName val="Population"/>
      <sheetName val="Summary ICR"/>
      <sheetName val="ICR Rate"/>
      <sheetName val="Data Sheet"/>
      <sheetName val="Admin Sheet"/>
      <sheetName val="Admin Sheet_Pop"/>
      <sheetName val="Recipient sheet"/>
      <sheetName val="Currencies"/>
      <sheetName val="Free pivot table"/>
      <sheetName val="Investment Landscape Overview"/>
      <sheetName val="Action Plan – Key Activities"/>
      <sheetName val="Financial Triggers - Budget"/>
      <sheetName val="Translations"/>
      <sheetName val="Action Plan - Pivot"/>
      <sheetName val="Action Plan - Reference Data"/>
      <sheetName val="0. Refresh Pivot Tables"/>
      <sheetName val="Action Plan - Pivot Analytic"/>
      <sheetName val="2. Budget Granularity"/>
      <sheetName val="Dataset - Costing Dimensions"/>
      <sheetName val="apttusmeta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ersion History"/>
      <sheetName val="Setup"/>
      <sheetName val="Data Sheet"/>
      <sheetName val="Detailed Budget"/>
      <sheetName val="AUN Budget"/>
      <sheetName val="Training Plan_2022"/>
      <sheetName val="Y2_REVISION"/>
      <sheetName val="HP_updated_2022"/>
      <sheetName val="Assumptions"/>
      <sheetName val="Y1_REVISION"/>
      <sheetName val="HP_updated"/>
      <sheetName val="Assumptions Other_AUN"/>
      <sheetName val="Assumptions TRC_AUN"/>
      <sheetName val="Assumptions HR_AUN"/>
      <sheetName val="HPMT"/>
      <sheetName val="HP_AUN"/>
      <sheetName val="Budget Summary_versus IL2"/>
      <sheetName val="Budget Summary"/>
      <sheetName val="Budget Summary En"/>
      <sheetName val="Summary by Intervention"/>
      <sheetName val="Summary by Cost Input"/>
      <sheetName val="Additional Summary"/>
      <sheetName val="Population"/>
      <sheetName val="Summary ICR"/>
      <sheetName val="ICR Rate"/>
      <sheetName val="Admin Sheet"/>
      <sheetName val="Admin Sheet_Pop"/>
      <sheetName val="Recipient sheet"/>
      <sheetName val="Currencies"/>
      <sheetName val="Assumptions HR"/>
      <sheetName val="Assumptions TRC"/>
      <sheetName val="Assumptions Other"/>
      <sheetName val="Free sheet-enter what you need"/>
      <sheetName val="Free pivot table"/>
      <sheetName val="Investment Landscape Overview"/>
      <sheetName val="Action Plan – Key Activities"/>
      <sheetName val="Financial Triggers - Budget"/>
      <sheetName val="Translations"/>
      <sheetName val="Action Plan - Pivot"/>
      <sheetName val="Action Plan - Reference Data"/>
      <sheetName val="0. Refresh Pivot Tables"/>
      <sheetName val="Action Plan - Pivot Analytic"/>
      <sheetName val="2. Budget Granularity"/>
      <sheetName val="Dataset - Costing Dimensions"/>
      <sheetName val="apttusmetadata"/>
      <sheetName val="UKR-C-AUN_DB_main grant_10Mar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_pop"/>
      <sheetName val="_pvt_epicountry"/>
      <sheetName val="_epibycountry"/>
      <sheetName val="_pvt_epiregion"/>
      <sheetName val="_epibyregion"/>
      <sheetName val="_pvt_costsregion"/>
      <sheetName val="_costbyregion"/>
      <sheetName val="_pvt_costscountry"/>
      <sheetName val="_costbycountry"/>
      <sheetName val="_ref_tables"/>
      <sheetName val="_settings"/>
      <sheetName val="Options"/>
      <sheetName val="Guidelines"/>
      <sheetName val="Baseline Budget"/>
      <sheetName val="Epidemiology"/>
      <sheetName val="1.2 Improving diagnosis"/>
      <sheetName val="Lab items list"/>
      <sheetName val="1.3 Patient support"/>
      <sheetName val="1.4 First-line drugs"/>
      <sheetName val="1.5.1 M&amp;E"/>
      <sheetName val="1.5.2 Management &amp; supervision"/>
      <sheetName val="1.5.3.1 Staff"/>
      <sheetName val="1.5.3.2 International TA"/>
      <sheetName val="1.5.3.3 Training"/>
      <sheetName val="2.1 TB HIV"/>
      <sheetName val="2.2 MDR TB"/>
      <sheetName val="2.3.1 High risk grups"/>
      <sheetName val="2.3.2 Infection control"/>
      <sheetName val="2.3.3 Childhood"/>
      <sheetName val="3.2 PAL"/>
      <sheetName val="4.1 PPM"/>
      <sheetName val="5.1 ACSM"/>
      <sheetName val="5.2 Community involvement"/>
      <sheetName val="6.1 OR"/>
      <sheetName val="Other"/>
      <sheetName val="Use general health services"/>
      <sheetName val="Table Costs Funding"/>
      <sheetName val="Table Costs by activity"/>
      <sheetName val="Fig Costs"/>
      <sheetName val="Fig Funding"/>
      <sheetName val="Table costs &amp; funding"/>
      <sheetName val="Table CostCategoriesGF"/>
      <sheetName val="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 Budget Entry Page"/>
      <sheetName val="0. Refresh Pivot Tables"/>
      <sheetName val="1. Program Management Analysis"/>
      <sheetName val="2. Budget Granularity"/>
      <sheetName val="3. IMP-Cost Input Analysis"/>
      <sheetName val="4.Graphs 1"/>
      <sheetName val="5.Graphs 2"/>
      <sheetName val="6. Final Report"/>
      <sheetName val="Annex - Action Plan"/>
      <sheetName val="Dataset - Costing Dimensions"/>
      <sheetName val="List"/>
      <sheetName val="Setup_-_Budget_Entry_Page"/>
      <sheetName val="0__Refresh_Pivot_Tables"/>
      <sheetName val="1__Program_Management_Analysis"/>
      <sheetName val="2__Budget_Granularity"/>
      <sheetName val="3__IMP-Cost_Input_Analysis"/>
      <sheetName val="4_Graphs_1"/>
      <sheetName val="5_Graphs_2"/>
      <sheetName val="6__Final_Report"/>
      <sheetName val="Annex_-_Action_Plan"/>
      <sheetName val="Dataset_-_Costing_Dimensions"/>
      <sheetName val="Summary"/>
      <sheetName val="apttusmeta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Log"/>
      <sheetName val="Instructions"/>
      <sheetName val="Setup"/>
      <sheetName val="Pharmaceuticals"/>
      <sheetName val="Health Products &amp; Equipment"/>
      <sheetName val="Other Pharma &amp; Health Products"/>
      <sheetName val="PSM Costs"/>
      <sheetName val="Budget Summary"/>
      <sheetName val="ActivityConcat"/>
      <sheetName val="Recipient"/>
      <sheetName val="Currencies"/>
      <sheetName val="Rank unique CI-Prod-Spec"/>
      <sheetName val="CostInpInCmpInSFpsmCat"/>
      <sheetName val="Product Summary"/>
      <sheetName val="Rank unique Mod-Int-CI-PR"/>
      <sheetName val="PSM Detailed Budget"/>
      <sheetName val="Country"/>
      <sheetName val="Translations"/>
      <sheetName val="CatCmp"/>
      <sheetName val="CatModules"/>
      <sheetName val="ModInCmp"/>
      <sheetName val="CatInt"/>
      <sheetName val="CatCostGrp"/>
      <sheetName val="CatCostInp"/>
      <sheetName val="CatProdSpec"/>
      <sheetName val="CatProd"/>
      <sheetName val="Query for PSM produ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InpInCmpInSFpsmCat"/>
      <sheetName val="ChgLog"/>
      <sheetName val="Instructions"/>
      <sheetName val="Setup"/>
      <sheetName val="Pharmaceuticals"/>
      <sheetName val="Health Products &amp; Equipment"/>
      <sheetName val="Other Pharma &amp; Health Products"/>
      <sheetName val="PSM Costs"/>
      <sheetName val="Budget Summary"/>
      <sheetName val="ActivityConcat"/>
      <sheetName val="Recipient"/>
      <sheetName val="Currencies"/>
      <sheetName val="Rank unique CI-Prod-Spec"/>
      <sheetName val="Product Summary"/>
      <sheetName val="Rank unique Mod-Int-CI-PR"/>
      <sheetName val="PSM Detailed Budget"/>
      <sheetName val="Country"/>
      <sheetName val="Translations"/>
      <sheetName val="CatCmp"/>
      <sheetName val="CatModules"/>
      <sheetName val="ModInCmp"/>
      <sheetName val="CatInt"/>
      <sheetName val="CatCostGrp"/>
      <sheetName val="CatCostInp"/>
      <sheetName val="CatProdSpec"/>
      <sheetName val="CatProd"/>
      <sheetName val="Query for PSM produ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S"/>
      <sheetName val="SETUP"/>
      <sheetName val="Search Product"/>
      <sheetName val="HIV-Key Info"/>
      <sheetName val="HIV-Pharmaceuticals"/>
      <sheetName val="HIV-Equipment"/>
      <sheetName val="HIV-Other HPs"/>
      <sheetName val="EBS-H"/>
      <sheetName val="HIV-Pharma"/>
      <sheetName val="HIV-Equip"/>
      <sheetName val="HIV-Other HP"/>
      <sheetName val="TB-Key Info"/>
      <sheetName val="TB-Pharmaceuticals"/>
      <sheetName val="TB-EQUIPMENT &amp; OTHER HPs"/>
      <sheetName val="TB-Pharma"/>
      <sheetName val="Extended Budget Sheet - TB"/>
      <sheetName val="TB-Other HPs"/>
      <sheetName val="Malaria-Key Info"/>
      <sheetName val="Malaria-Pharmaceuticals"/>
      <sheetName val="Malaria-Equipment &amp; Other HPs"/>
      <sheetName val="Extended Budget Sheet - Malaria"/>
      <sheetName val="Malaria-Pharma"/>
      <sheetName val="Malaria-Other HPs"/>
      <sheetName val="HPM costs"/>
      <sheetName val="RSSH- HPM &amp;Lab System"/>
      <sheetName val="Detailed Budget"/>
      <sheetName val="Cost Input SB"/>
      <sheetName val="Mod Int SB"/>
      <sheetName val="Mod Int with HIV KP SB"/>
      <sheetName val="HIV Aggregation SB"/>
      <sheetName val="Population SB"/>
      <sheetName val="Blank Pivot"/>
      <sheetName val="HPM LIST"/>
      <sheetName val="LISTS"/>
      <sheetName val="PR_Countries"/>
    </sheetNames>
    <sheetDataSet>
      <sheetData sheetId="0" refreshError="1"/>
      <sheetData sheetId="1" refreshError="1">
        <row r="3">
          <cell r="E3" t="str">
            <v>Ukraine</v>
          </cell>
        </row>
        <row r="12">
          <cell r="F12" t="str">
            <v>Ukraine__USD</v>
          </cell>
          <cell r="G12" t="str">
            <v>Ukraine___USD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H2" t="str">
            <v>Malaria Antigen P.f , HRP2/pLDH, Kit, 25 Tests</v>
          </cell>
        </row>
        <row r="3">
          <cell r="H3" t="str">
            <v>Malaria Antigen P.f / P.v, HRP2, pLDH, Kit, 10 Tests</v>
          </cell>
        </row>
        <row r="4">
          <cell r="H4" t="str">
            <v>Malaria Rapid Diagnostic Test Kit - PAN - 25 tests</v>
          </cell>
        </row>
        <row r="5">
          <cell r="H5" t="str">
            <v>Malaria Rapid Diagnostic Test Kit - Pf/Pv - 25 tests</v>
          </cell>
        </row>
        <row r="6">
          <cell r="H6" t="str">
            <v>Malaria Rapid Diagnostic Test Kit - Pf only - 25 tests</v>
          </cell>
        </row>
        <row r="7">
          <cell r="H7" t="str">
            <v>Malaria Rapid Diagnostic Test Kit - Pf/PAN - 25 tests</v>
          </cell>
        </row>
        <row r="8">
          <cell r="H8" t="str">
            <v>Malaria Rapid Diagnostic Test Kit - Pf/VOM - 25 tests</v>
          </cell>
        </row>
        <row r="9">
          <cell r="H9" t="str">
            <v xml:space="preserve">[enter specifications manually] </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2">
          <cell r="A2" t="str">
            <v>Policy, strategy, governance</v>
          </cell>
        </row>
        <row r="3">
          <cell r="A3" t="str">
            <v>Storage and distribution capacity</v>
          </cell>
        </row>
        <row r="4">
          <cell r="A4" t="str">
            <v xml:space="preserve">Procurement capacity </v>
          </cell>
        </row>
        <row r="5">
          <cell r="A5" t="str">
            <v xml:space="preserve">Regulatory/quality assurance support </v>
          </cell>
        </row>
        <row r="6">
          <cell r="A6" t="str">
            <v>Avoidance, reduction and management of health care waste</v>
          </cell>
        </row>
      </sheetData>
      <sheetData sheetId="33" refreshError="1">
        <row r="3">
          <cell r="E3">
            <v>0</v>
          </cell>
          <cell r="F3" t="str">
            <v>PPM</v>
          </cell>
          <cell r="J3" t="str">
            <v xml:space="preserve">Abbott </v>
          </cell>
          <cell r="K3" t="str">
            <v xml:space="preserve">Abbott </v>
          </cell>
          <cell r="M3" t="str">
            <v>DBS</v>
          </cell>
          <cell r="O3" t="str">
            <v>Yes</v>
          </cell>
          <cell r="S3" t="str">
            <v>Unit</v>
          </cell>
        </row>
        <row r="4">
          <cell r="E4">
            <v>1</v>
          </cell>
          <cell r="F4" t="str">
            <v>non-PPM</v>
          </cell>
          <cell r="J4" t="str">
            <v>bioMerieux</v>
          </cell>
          <cell r="M4" t="str">
            <v>Plasma</v>
          </cell>
          <cell r="O4" t="str">
            <v>No</v>
          </cell>
          <cell r="S4" t="str">
            <v>Pack</v>
          </cell>
        </row>
        <row r="5">
          <cell r="E5">
            <v>2</v>
          </cell>
          <cell r="F5" t="str">
            <v>GDF</v>
          </cell>
          <cell r="J5" t="str">
            <v>Cepheid</v>
          </cell>
          <cell r="M5" t="str">
            <v>Whole blood</v>
          </cell>
          <cell r="S5" t="str">
            <v>Kit</v>
          </cell>
        </row>
        <row r="6">
          <cell r="E6">
            <v>3</v>
          </cell>
          <cell r="F6" t="str">
            <v>UN-agency</v>
          </cell>
          <cell r="J6" t="str">
            <v>DRW</v>
          </cell>
          <cell r="K6" t="str">
            <v>bioMerieux</v>
          </cell>
        </row>
        <row r="7">
          <cell r="E7">
            <v>4</v>
          </cell>
          <cell r="J7" t="str">
            <v>Hologic</v>
          </cell>
        </row>
        <row r="8">
          <cell r="E8">
            <v>5</v>
          </cell>
          <cell r="J8" t="str">
            <v>Qiagen</v>
          </cell>
        </row>
        <row r="9">
          <cell r="E9">
            <v>6</v>
          </cell>
          <cell r="F9" t="str">
            <v>Upfront</v>
          </cell>
          <cell r="J9" t="str">
            <v xml:space="preserve">Roche </v>
          </cell>
          <cell r="K9" t="str">
            <v>Cepheid</v>
          </cell>
        </row>
        <row r="10">
          <cell r="E10">
            <v>7</v>
          </cell>
          <cell r="F10" t="str">
            <v>At delivery</v>
          </cell>
          <cell r="J10" t="str">
            <v>Other</v>
          </cell>
          <cell r="K10" t="str">
            <v>DRW</v>
          </cell>
        </row>
        <row r="11">
          <cell r="E11">
            <v>8</v>
          </cell>
        </row>
        <row r="12">
          <cell r="E12">
            <v>9</v>
          </cell>
          <cell r="K12" t="str">
            <v>Hologic</v>
          </cell>
        </row>
        <row r="13">
          <cell r="E13">
            <v>10</v>
          </cell>
          <cell r="K13" t="str">
            <v>Qiagen</v>
          </cell>
        </row>
        <row r="14">
          <cell r="E14">
            <v>11</v>
          </cell>
          <cell r="K14" t="str">
            <v xml:space="preserve">Roche </v>
          </cell>
        </row>
        <row r="15">
          <cell r="E15">
            <v>12</v>
          </cell>
        </row>
        <row r="16">
          <cell r="E16">
            <v>13</v>
          </cell>
        </row>
        <row r="17">
          <cell r="E17">
            <v>14</v>
          </cell>
        </row>
        <row r="18">
          <cell r="E18">
            <v>15</v>
          </cell>
        </row>
        <row r="19">
          <cell r="E19">
            <v>16</v>
          </cell>
        </row>
        <row r="20">
          <cell r="E20">
            <v>17</v>
          </cell>
          <cell r="K20" t="str">
            <v>Other</v>
          </cell>
        </row>
        <row r="21">
          <cell r="E21">
            <v>18</v>
          </cell>
        </row>
        <row r="22">
          <cell r="E22">
            <v>19</v>
          </cell>
        </row>
        <row r="23">
          <cell r="E23">
            <v>20</v>
          </cell>
        </row>
        <row r="24">
          <cell r="E24">
            <v>21</v>
          </cell>
        </row>
        <row r="25">
          <cell r="E25">
            <v>22</v>
          </cell>
        </row>
        <row r="26">
          <cell r="E26">
            <v>23</v>
          </cell>
        </row>
        <row r="27">
          <cell r="E27">
            <v>24</v>
          </cell>
        </row>
        <row r="28">
          <cell r="E28">
            <v>25</v>
          </cell>
        </row>
        <row r="29">
          <cell r="E29">
            <v>26</v>
          </cell>
        </row>
        <row r="30">
          <cell r="E30">
            <v>27</v>
          </cell>
        </row>
        <row r="31">
          <cell r="E31">
            <v>28</v>
          </cell>
        </row>
        <row r="32">
          <cell r="E32">
            <v>29</v>
          </cell>
        </row>
        <row r="33">
          <cell r="E33">
            <v>30</v>
          </cell>
        </row>
        <row r="34">
          <cell r="E34">
            <v>31</v>
          </cell>
        </row>
        <row r="35">
          <cell r="E35">
            <v>32</v>
          </cell>
        </row>
        <row r="36">
          <cell r="E36">
            <v>33</v>
          </cell>
        </row>
        <row r="37">
          <cell r="E37">
            <v>34</v>
          </cell>
        </row>
        <row r="38">
          <cell r="E38">
            <v>35</v>
          </cell>
        </row>
        <row r="39">
          <cell r="E39">
            <v>36</v>
          </cell>
        </row>
        <row r="40">
          <cell r="E40">
            <v>37</v>
          </cell>
        </row>
        <row r="41">
          <cell r="E41">
            <v>38</v>
          </cell>
        </row>
        <row r="42">
          <cell r="E42">
            <v>39</v>
          </cell>
        </row>
        <row r="43">
          <cell r="E43">
            <v>40</v>
          </cell>
        </row>
        <row r="44">
          <cell r="E44">
            <v>41</v>
          </cell>
        </row>
        <row r="45">
          <cell r="E45">
            <v>42</v>
          </cell>
        </row>
        <row r="46">
          <cell r="E46">
            <v>43</v>
          </cell>
        </row>
        <row r="47">
          <cell r="E47">
            <v>44</v>
          </cell>
        </row>
        <row r="48">
          <cell r="E48">
            <v>45</v>
          </cell>
        </row>
        <row r="49">
          <cell r="E49">
            <v>46</v>
          </cell>
        </row>
        <row r="50">
          <cell r="E50">
            <v>47</v>
          </cell>
        </row>
        <row r="51">
          <cell r="E51">
            <v>48</v>
          </cell>
        </row>
        <row r="52">
          <cell r="E52">
            <v>49</v>
          </cell>
        </row>
        <row r="53">
          <cell r="E53">
            <v>50</v>
          </cell>
        </row>
        <row r="54">
          <cell r="E54">
            <v>51</v>
          </cell>
        </row>
        <row r="55">
          <cell r="E55">
            <v>52</v>
          </cell>
        </row>
        <row r="56">
          <cell r="E56">
            <v>53</v>
          </cell>
        </row>
        <row r="57">
          <cell r="E57">
            <v>54</v>
          </cell>
        </row>
        <row r="58">
          <cell r="E58">
            <v>55</v>
          </cell>
        </row>
        <row r="59">
          <cell r="E59">
            <v>56</v>
          </cell>
        </row>
        <row r="60">
          <cell r="E60">
            <v>57</v>
          </cell>
        </row>
        <row r="61">
          <cell r="E61">
            <v>58</v>
          </cell>
        </row>
        <row r="62">
          <cell r="E62">
            <v>59</v>
          </cell>
        </row>
        <row r="63">
          <cell r="E63">
            <v>60</v>
          </cell>
        </row>
        <row r="64">
          <cell r="E64">
            <v>61</v>
          </cell>
        </row>
        <row r="65">
          <cell r="E65">
            <v>62</v>
          </cell>
        </row>
        <row r="66">
          <cell r="E66">
            <v>63</v>
          </cell>
        </row>
        <row r="67">
          <cell r="E67">
            <v>64</v>
          </cell>
        </row>
        <row r="68">
          <cell r="E68">
            <v>65</v>
          </cell>
        </row>
        <row r="69">
          <cell r="E69">
            <v>66</v>
          </cell>
        </row>
        <row r="70">
          <cell r="E70">
            <v>67</v>
          </cell>
        </row>
        <row r="71">
          <cell r="E71">
            <v>68</v>
          </cell>
        </row>
        <row r="72">
          <cell r="E72">
            <v>69</v>
          </cell>
        </row>
        <row r="73">
          <cell r="E73">
            <v>70</v>
          </cell>
        </row>
        <row r="74">
          <cell r="E74">
            <v>71</v>
          </cell>
        </row>
        <row r="75">
          <cell r="E75">
            <v>72</v>
          </cell>
        </row>
        <row r="76">
          <cell r="E76">
            <v>73</v>
          </cell>
        </row>
        <row r="77">
          <cell r="E77">
            <v>74</v>
          </cell>
        </row>
        <row r="78">
          <cell r="E78">
            <v>75</v>
          </cell>
        </row>
        <row r="79">
          <cell r="E79">
            <v>76</v>
          </cell>
        </row>
        <row r="80">
          <cell r="E80">
            <v>77</v>
          </cell>
        </row>
        <row r="81">
          <cell r="E81">
            <v>78</v>
          </cell>
        </row>
        <row r="82">
          <cell r="E82">
            <v>79</v>
          </cell>
        </row>
        <row r="83">
          <cell r="E83">
            <v>80</v>
          </cell>
        </row>
        <row r="84">
          <cell r="E84">
            <v>81</v>
          </cell>
        </row>
        <row r="85">
          <cell r="E85">
            <v>82</v>
          </cell>
        </row>
        <row r="86">
          <cell r="E86">
            <v>83</v>
          </cell>
        </row>
        <row r="87">
          <cell r="E87">
            <v>84</v>
          </cell>
        </row>
        <row r="88">
          <cell r="E88">
            <v>85</v>
          </cell>
        </row>
        <row r="89">
          <cell r="E89">
            <v>86</v>
          </cell>
        </row>
        <row r="90">
          <cell r="E90">
            <v>87</v>
          </cell>
        </row>
        <row r="91">
          <cell r="E91">
            <v>88</v>
          </cell>
        </row>
        <row r="92">
          <cell r="E92">
            <v>89</v>
          </cell>
        </row>
        <row r="93">
          <cell r="E93">
            <v>90</v>
          </cell>
        </row>
        <row r="94">
          <cell r="E94">
            <v>91</v>
          </cell>
        </row>
        <row r="95">
          <cell r="E95">
            <v>92</v>
          </cell>
        </row>
        <row r="96">
          <cell r="E96">
            <v>93</v>
          </cell>
        </row>
        <row r="97">
          <cell r="E97">
            <v>94</v>
          </cell>
        </row>
        <row r="98">
          <cell r="E98">
            <v>95</v>
          </cell>
        </row>
        <row r="99">
          <cell r="E99">
            <v>96</v>
          </cell>
        </row>
        <row r="100">
          <cell r="E100">
            <v>97</v>
          </cell>
        </row>
        <row r="101">
          <cell r="E101">
            <v>98</v>
          </cell>
        </row>
        <row r="102">
          <cell r="E102">
            <v>99</v>
          </cell>
        </row>
        <row r="103">
          <cell r="E103">
            <v>100</v>
          </cell>
        </row>
        <row r="104">
          <cell r="E104">
            <v>101</v>
          </cell>
        </row>
        <row r="105">
          <cell r="E105">
            <v>102</v>
          </cell>
        </row>
        <row r="106">
          <cell r="E106">
            <v>103</v>
          </cell>
        </row>
        <row r="107">
          <cell r="E107">
            <v>104</v>
          </cell>
        </row>
        <row r="108">
          <cell r="E108">
            <v>105</v>
          </cell>
        </row>
        <row r="109">
          <cell r="E109">
            <v>106</v>
          </cell>
        </row>
        <row r="110">
          <cell r="E110">
            <v>107</v>
          </cell>
        </row>
        <row r="111">
          <cell r="E111">
            <v>108</v>
          </cell>
        </row>
        <row r="112">
          <cell r="E112">
            <v>109</v>
          </cell>
        </row>
        <row r="113">
          <cell r="E113">
            <v>110</v>
          </cell>
        </row>
        <row r="114">
          <cell r="E114" t="str">
            <v>&gt;110</v>
          </cell>
        </row>
      </sheetData>
      <sheetData sheetId="34" refreshError="1">
        <row r="2">
          <cell r="I2" t="str">
            <v>Afghanistan</v>
          </cell>
        </row>
        <row r="3">
          <cell r="I3" t="str">
            <v>Africa</v>
          </cell>
        </row>
        <row r="4">
          <cell r="I4" t="str">
            <v>Albania</v>
          </cell>
        </row>
        <row r="5">
          <cell r="I5" t="str">
            <v>Algeria</v>
          </cell>
        </row>
        <row r="6">
          <cell r="I6" t="str">
            <v>Americas</v>
          </cell>
        </row>
        <row r="7">
          <cell r="I7" t="str">
            <v>Angola</v>
          </cell>
        </row>
        <row r="8">
          <cell r="I8" t="str">
            <v>Argentina</v>
          </cell>
        </row>
        <row r="9">
          <cell r="I9" t="str">
            <v>Armenia</v>
          </cell>
        </row>
        <row r="10">
          <cell r="I10" t="str">
            <v>Asia</v>
          </cell>
        </row>
        <row r="11">
          <cell r="I11" t="str">
            <v>Azerbaijan</v>
          </cell>
        </row>
        <row r="12">
          <cell r="I12" t="str">
            <v>Bangladesh</v>
          </cell>
        </row>
        <row r="13">
          <cell r="I13" t="str">
            <v>Belarus</v>
          </cell>
        </row>
        <row r="14">
          <cell r="I14" t="str">
            <v>Belize</v>
          </cell>
        </row>
        <row r="15">
          <cell r="I15" t="str">
            <v>Benin</v>
          </cell>
        </row>
        <row r="16">
          <cell r="I16" t="str">
            <v>Bhutan</v>
          </cell>
        </row>
        <row r="17">
          <cell r="I17" t="str">
            <v>Bolivia (Plurinational State)</v>
          </cell>
        </row>
        <row r="18">
          <cell r="I18" t="str">
            <v>Bosnia and Herzegovina</v>
          </cell>
        </row>
        <row r="19">
          <cell r="I19" t="str">
            <v>Botswana</v>
          </cell>
        </row>
        <row r="20">
          <cell r="I20" t="str">
            <v>Brazil</v>
          </cell>
        </row>
        <row r="21">
          <cell r="I21" t="str">
            <v>Bulgaria</v>
          </cell>
        </row>
        <row r="22">
          <cell r="I22" t="str">
            <v>Burkina Faso</v>
          </cell>
        </row>
        <row r="23">
          <cell r="I23" t="str">
            <v>Burundi</v>
          </cell>
        </row>
        <row r="24">
          <cell r="I24" t="str">
            <v>Cabo Verde</v>
          </cell>
        </row>
        <row r="25">
          <cell r="I25" t="str">
            <v>Cambodia</v>
          </cell>
        </row>
        <row r="26">
          <cell r="I26" t="str">
            <v>Cameroon</v>
          </cell>
        </row>
        <row r="27">
          <cell r="I27" t="str">
            <v>Caribbean</v>
          </cell>
        </row>
        <row r="28">
          <cell r="I28" t="str">
            <v>Central African Republic</v>
          </cell>
        </row>
        <row r="29">
          <cell r="I29" t="str">
            <v>Central America</v>
          </cell>
        </row>
        <row r="30">
          <cell r="I30" t="str">
            <v>Chad</v>
          </cell>
        </row>
        <row r="31">
          <cell r="I31" t="str">
            <v>Chile</v>
          </cell>
        </row>
        <row r="32">
          <cell r="I32" t="str">
            <v>China</v>
          </cell>
        </row>
        <row r="33">
          <cell r="I33" t="str">
            <v>Colombia</v>
          </cell>
        </row>
        <row r="34">
          <cell r="I34" t="str">
            <v>Comoros</v>
          </cell>
        </row>
        <row r="35">
          <cell r="I35" t="str">
            <v>Congo</v>
          </cell>
        </row>
        <row r="36">
          <cell r="I36" t="str">
            <v>Congo (Democratic Republic)</v>
          </cell>
        </row>
        <row r="37">
          <cell r="I37" t="str">
            <v>Costa Rica</v>
          </cell>
        </row>
        <row r="38">
          <cell r="I38" t="str">
            <v>Côte d'Ivoire</v>
          </cell>
        </row>
        <row r="39">
          <cell r="I39" t="str">
            <v>Croatia</v>
          </cell>
        </row>
        <row r="40">
          <cell r="I40" t="str">
            <v>Cuba</v>
          </cell>
        </row>
        <row r="41">
          <cell r="I41" t="str">
            <v>Djibouti</v>
          </cell>
        </row>
        <row r="42">
          <cell r="I42" t="str">
            <v>Dominican Republic</v>
          </cell>
        </row>
        <row r="43">
          <cell r="I43" t="str">
            <v>Eastern Africa</v>
          </cell>
        </row>
        <row r="44">
          <cell r="I44" t="str">
            <v>Ecuador</v>
          </cell>
        </row>
        <row r="45">
          <cell r="I45" t="str">
            <v>Egypt</v>
          </cell>
        </row>
        <row r="46">
          <cell r="I46" t="str">
            <v>El Salvador</v>
          </cell>
        </row>
        <row r="47">
          <cell r="I47" t="str">
            <v>Equatorial Guinea</v>
          </cell>
        </row>
        <row r="48">
          <cell r="I48" t="str">
            <v>Eritrea</v>
          </cell>
        </row>
        <row r="49">
          <cell r="I49" t="str">
            <v>Estonia</v>
          </cell>
        </row>
        <row r="50">
          <cell r="I50" t="str">
            <v>Eswatini</v>
          </cell>
        </row>
        <row r="51">
          <cell r="I51" t="str">
            <v>Ethiopia</v>
          </cell>
        </row>
        <row r="52">
          <cell r="I52" t="str">
            <v>Fiji</v>
          </cell>
        </row>
        <row r="53">
          <cell r="I53" t="str">
            <v>Gabon</v>
          </cell>
        </row>
        <row r="54">
          <cell r="I54" t="str">
            <v>Gambia</v>
          </cell>
        </row>
        <row r="55">
          <cell r="I55" t="str">
            <v>Georgia</v>
          </cell>
        </row>
        <row r="56">
          <cell r="I56" t="str">
            <v>Ghana</v>
          </cell>
        </row>
        <row r="57">
          <cell r="I57" t="str">
            <v>Guatemala</v>
          </cell>
        </row>
        <row r="58">
          <cell r="I58" t="str">
            <v>Guinea</v>
          </cell>
        </row>
        <row r="59">
          <cell r="I59" t="str">
            <v>Guinea-Bissau</v>
          </cell>
        </row>
        <row r="60">
          <cell r="I60" t="str">
            <v>Guyana</v>
          </cell>
        </row>
        <row r="61">
          <cell r="I61" t="str">
            <v>Haiti</v>
          </cell>
        </row>
        <row r="62">
          <cell r="I62" t="str">
            <v>Honduras</v>
          </cell>
        </row>
        <row r="63">
          <cell r="I63" t="str">
            <v>India</v>
          </cell>
        </row>
        <row r="64">
          <cell r="I64" t="str">
            <v>Indonesia</v>
          </cell>
        </row>
        <row r="65">
          <cell r="I65" t="str">
            <v>Iran (Islamic Republic)</v>
          </cell>
        </row>
        <row r="66">
          <cell r="I66" t="str">
            <v>Iraq</v>
          </cell>
        </row>
        <row r="67">
          <cell r="I67" t="str">
            <v>Jamaica</v>
          </cell>
        </row>
        <row r="68">
          <cell r="I68" t="str">
            <v>Jordan</v>
          </cell>
        </row>
        <row r="69">
          <cell r="I69" t="str">
            <v>Kazakhstan</v>
          </cell>
        </row>
        <row r="70">
          <cell r="I70" t="str">
            <v>Kenya</v>
          </cell>
        </row>
        <row r="71">
          <cell r="I71" t="str">
            <v>Korea (Democratic Peoples Republic)</v>
          </cell>
        </row>
        <row r="72">
          <cell r="I72" t="str">
            <v>Kosovo</v>
          </cell>
        </row>
        <row r="73">
          <cell r="I73" t="str">
            <v>Kyrgyzstan</v>
          </cell>
        </row>
        <row r="74">
          <cell r="I74" t="str">
            <v>Lao (Peoples Democratic Republic)</v>
          </cell>
        </row>
        <row r="75">
          <cell r="I75" t="str">
            <v>Lesotho</v>
          </cell>
        </row>
        <row r="76">
          <cell r="I76" t="str">
            <v>Liberia</v>
          </cell>
        </row>
        <row r="77">
          <cell r="I77" t="str">
            <v>Madagascar</v>
          </cell>
        </row>
        <row r="78">
          <cell r="I78" t="str">
            <v>Malawi</v>
          </cell>
        </row>
        <row r="79">
          <cell r="I79" t="str">
            <v>Malaysia</v>
          </cell>
        </row>
        <row r="80">
          <cell r="I80" t="str">
            <v>Maldives</v>
          </cell>
        </row>
        <row r="81">
          <cell r="I81" t="str">
            <v>Mali</v>
          </cell>
        </row>
        <row r="82">
          <cell r="I82" t="str">
            <v>Mauritania</v>
          </cell>
        </row>
        <row r="83">
          <cell r="I83" t="str">
            <v>Mauritius</v>
          </cell>
        </row>
        <row r="84">
          <cell r="I84" t="str">
            <v>Mexico</v>
          </cell>
        </row>
        <row r="85">
          <cell r="I85" t="str">
            <v>Moldova</v>
          </cell>
        </row>
        <row r="86">
          <cell r="I86" t="str">
            <v>Mongolia</v>
          </cell>
        </row>
        <row r="87">
          <cell r="I87" t="str">
            <v>Montenegro</v>
          </cell>
        </row>
        <row r="88">
          <cell r="I88" t="str">
            <v>Morocco</v>
          </cell>
        </row>
        <row r="89">
          <cell r="I89" t="str">
            <v>Mozambique</v>
          </cell>
        </row>
        <row r="90">
          <cell r="I90" t="str">
            <v>Myanmar</v>
          </cell>
        </row>
        <row r="91">
          <cell r="I91" t="str">
            <v>Namibia</v>
          </cell>
        </row>
        <row r="92">
          <cell r="I92" t="str">
            <v>Nepal</v>
          </cell>
        </row>
        <row r="93">
          <cell r="I93" t="str">
            <v>Nicaragua</v>
          </cell>
        </row>
        <row r="94">
          <cell r="I94" t="str">
            <v>Niger</v>
          </cell>
        </row>
        <row r="95">
          <cell r="I95" t="str">
            <v>Nigeria</v>
          </cell>
        </row>
        <row r="96">
          <cell r="I96" t="str">
            <v>North Macedonia</v>
          </cell>
        </row>
        <row r="97">
          <cell r="I97" t="str">
            <v>Oceania</v>
          </cell>
        </row>
        <row r="98">
          <cell r="I98" t="str">
            <v>Pakistan</v>
          </cell>
        </row>
        <row r="99">
          <cell r="I99" t="str">
            <v>Palestine</v>
          </cell>
        </row>
        <row r="100">
          <cell r="I100" t="str">
            <v>Panama</v>
          </cell>
        </row>
        <row r="101">
          <cell r="I101" t="str">
            <v>Papua New Guinea</v>
          </cell>
        </row>
        <row r="102">
          <cell r="I102" t="str">
            <v>Paraguay</v>
          </cell>
        </row>
        <row r="103">
          <cell r="I103" t="str">
            <v>Peru</v>
          </cell>
        </row>
        <row r="104">
          <cell r="I104" t="str">
            <v>Philippines</v>
          </cell>
        </row>
        <row r="105">
          <cell r="I105" t="str">
            <v>Romania</v>
          </cell>
        </row>
        <row r="106">
          <cell r="I106" t="str">
            <v>Russian Federation</v>
          </cell>
        </row>
        <row r="107">
          <cell r="I107" t="str">
            <v>Rwanda</v>
          </cell>
        </row>
        <row r="108">
          <cell r="I108" t="str">
            <v>Sao Tome and Principe</v>
          </cell>
        </row>
        <row r="109">
          <cell r="I109" t="str">
            <v>Senegal</v>
          </cell>
        </row>
        <row r="110">
          <cell r="I110" t="str">
            <v>Serbia</v>
          </cell>
        </row>
        <row r="111">
          <cell r="I111" t="str">
            <v>Sierra Leone</v>
          </cell>
        </row>
        <row r="112">
          <cell r="I112" t="str">
            <v>Solomon Islands</v>
          </cell>
        </row>
        <row r="113">
          <cell r="I113" t="str">
            <v>Somalia</v>
          </cell>
        </row>
        <row r="114">
          <cell r="I114" t="str">
            <v>South Africa</v>
          </cell>
        </row>
        <row r="115">
          <cell r="I115" t="str">
            <v>South America</v>
          </cell>
        </row>
        <row r="116">
          <cell r="I116" t="str">
            <v>South Sudan</v>
          </cell>
        </row>
        <row r="117">
          <cell r="I117" t="str">
            <v>South-Eastern Asia</v>
          </cell>
        </row>
        <row r="118">
          <cell r="I118" t="str">
            <v>Southern Asia</v>
          </cell>
        </row>
        <row r="119">
          <cell r="I119" t="str">
            <v>Southern Europe</v>
          </cell>
        </row>
        <row r="120">
          <cell r="I120" t="str">
            <v>Sri Lanka</v>
          </cell>
        </row>
        <row r="121">
          <cell r="I121" t="str">
            <v>Sudan</v>
          </cell>
        </row>
        <row r="122">
          <cell r="I122" t="str">
            <v>Suriname</v>
          </cell>
        </row>
        <row r="123">
          <cell r="I123" t="str">
            <v>Syrian Arab Republic</v>
          </cell>
        </row>
        <row r="124">
          <cell r="I124" t="str">
            <v>Tajikistan</v>
          </cell>
        </row>
        <row r="125">
          <cell r="I125" t="str">
            <v>Tanzania</v>
          </cell>
        </row>
        <row r="126">
          <cell r="I126" t="str">
            <v>Thailand</v>
          </cell>
        </row>
        <row r="127">
          <cell r="I127" t="str">
            <v>Timor-Leste</v>
          </cell>
        </row>
        <row r="128">
          <cell r="I128" t="str">
            <v>Togo</v>
          </cell>
        </row>
        <row r="129">
          <cell r="I129" t="str">
            <v>Tunisia</v>
          </cell>
        </row>
        <row r="130">
          <cell r="I130" t="str">
            <v>Turkey</v>
          </cell>
        </row>
        <row r="131">
          <cell r="I131" t="str">
            <v>Turkmenistan</v>
          </cell>
        </row>
        <row r="132">
          <cell r="I132" t="str">
            <v>Uganda</v>
          </cell>
        </row>
        <row r="133">
          <cell r="I133" t="str">
            <v>Ukraine</v>
          </cell>
        </row>
        <row r="134">
          <cell r="I134" t="str">
            <v>Uruguay</v>
          </cell>
        </row>
        <row r="135">
          <cell r="I135" t="str">
            <v>Uzbekistan</v>
          </cell>
        </row>
        <row r="136">
          <cell r="I136" t="str">
            <v>Venezuela</v>
          </cell>
        </row>
        <row r="137">
          <cell r="I137" t="str">
            <v>Viet Nam</v>
          </cell>
        </row>
        <row r="138">
          <cell r="I138" t="str">
            <v>Western Africa</v>
          </cell>
        </row>
        <row r="139">
          <cell r="I139" t="str">
            <v>Western Asia</v>
          </cell>
        </row>
        <row r="140">
          <cell r="I140" t="str">
            <v>World</v>
          </cell>
        </row>
        <row r="141">
          <cell r="I141" t="str">
            <v>Yemen</v>
          </cell>
        </row>
        <row r="142">
          <cell r="I142" t="str">
            <v>Zambia</v>
          </cell>
        </row>
        <row r="143">
          <cell r="I143" t="str">
            <v>Zanzibar</v>
          </cell>
        </row>
        <row r="144">
          <cell r="I144" t="str">
            <v>Zimbabwe</v>
          </cell>
        </row>
        <row r="145">
          <cell r="I145" t="str">
            <v>XXXXX</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ies"/>
    </sheetNames>
    <sheetDataSet>
      <sheetData sheetId="0"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Подання 1" id="{1380E74E-1C26-4B45-9002-B09263C3E56C}"/>
</namedSheetView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9</v>
    <v>9</v>
  </rv>
  <rv s="1">
    <v>9</v>
    <v>1</v>
  </rv>
</rvData>
</file>

<file path=xl/richData/rdrichvaluestructure.xml><?xml version="1.0" encoding="utf-8"?>
<rvStructures xmlns="http://schemas.microsoft.com/office/spreadsheetml/2017/richdata" count="2">
  <s t="_error">
    <k n="errorType" t="i"/>
    <k n="subType" t="i"/>
  </s>
  <s t="_error">
    <k n="errorType" t="i"/>
    <k n="propagated" t="b"/>
  </s>
</rvStructur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jobs.dou.ua/sala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509"/>
  <sheetViews>
    <sheetView zoomScaleNormal="100" workbookViewId="0">
      <pane xSplit="1" ySplit="1" topLeftCell="B257" activePane="bottomRight" state="frozen"/>
      <selection pane="topRight" activeCell="D1" sqref="D1"/>
      <selection pane="bottomLeft" activeCell="A2" sqref="A2"/>
      <selection pane="bottomRight" activeCell="F6" sqref="F6"/>
    </sheetView>
  </sheetViews>
  <sheetFormatPr defaultColWidth="9.109375" defaultRowHeight="14.4"/>
  <cols>
    <col min="1" max="1" width="27.6640625" style="613" customWidth="1"/>
    <col min="2" max="2" width="44.6640625" style="613" customWidth="1"/>
    <col min="3" max="3" width="11.109375" style="613" customWidth="1"/>
    <col min="4" max="4" width="13.6640625" style="613" customWidth="1"/>
    <col min="5" max="5" width="15" style="837" customWidth="1"/>
    <col min="6" max="6" width="23.88671875" style="837" customWidth="1"/>
    <col min="7" max="7" width="20.6640625" style="613" customWidth="1"/>
    <col min="8" max="16384" width="9.109375" style="613"/>
  </cols>
  <sheetData>
    <row r="1" spans="1:7" s="611" customFormat="1" ht="87.75" customHeight="1">
      <c r="A1" s="610" t="s">
        <v>0</v>
      </c>
      <c r="B1" s="610" t="s">
        <v>1</v>
      </c>
      <c r="C1" s="610" t="s">
        <v>2</v>
      </c>
      <c r="D1" s="610" t="s">
        <v>3</v>
      </c>
      <c r="E1" s="610" t="s">
        <v>2469</v>
      </c>
      <c r="F1" s="610" t="s">
        <v>4</v>
      </c>
      <c r="G1" s="864" t="s">
        <v>5</v>
      </c>
    </row>
    <row r="2" spans="1:7">
      <c r="A2" s="612" t="s">
        <v>6</v>
      </c>
      <c r="B2" s="612" t="s">
        <v>8</v>
      </c>
      <c r="C2" s="840">
        <v>46.9</v>
      </c>
      <c r="D2" s="838" t="s">
        <v>9</v>
      </c>
      <c r="E2" s="839">
        <v>17628.016110227749</v>
      </c>
      <c r="F2" s="839">
        <f>E2*C2</f>
        <v>826753.95556968136</v>
      </c>
      <c r="G2" s="865" t="s">
        <v>10</v>
      </c>
    </row>
    <row r="3" spans="1:7">
      <c r="A3" s="612" t="s">
        <v>6</v>
      </c>
      <c r="B3" s="612" t="s">
        <v>12</v>
      </c>
      <c r="C3" s="840">
        <v>1</v>
      </c>
      <c r="D3" s="838" t="s">
        <v>13</v>
      </c>
      <c r="E3" s="839">
        <v>763880.69810987136</v>
      </c>
      <c r="F3" s="839">
        <f>E3*C3</f>
        <v>763880.69810987136</v>
      </c>
      <c r="G3" s="865" t="s">
        <v>10</v>
      </c>
    </row>
    <row r="4" spans="1:7">
      <c r="A4" s="612" t="s">
        <v>6</v>
      </c>
      <c r="B4" s="612" t="s">
        <v>15</v>
      </c>
      <c r="C4" s="840">
        <v>117</v>
      </c>
      <c r="D4" s="838" t="s">
        <v>9</v>
      </c>
      <c r="E4" s="839">
        <v>9704.5206795968697</v>
      </c>
      <c r="F4" s="839">
        <f>E4*C4</f>
        <v>1135428.9195128337</v>
      </c>
      <c r="G4" s="865" t="s">
        <v>10</v>
      </c>
    </row>
    <row r="5" spans="1:7">
      <c r="A5" s="612" t="s">
        <v>6</v>
      </c>
      <c r="B5" s="861" t="s">
        <v>17</v>
      </c>
      <c r="C5" s="840">
        <v>1</v>
      </c>
      <c r="D5" s="838" t="s">
        <v>13</v>
      </c>
      <c r="E5" s="839">
        <v>42052.922944919766</v>
      </c>
      <c r="F5" s="839">
        <f>E5*C5</f>
        <v>42052.922944919766</v>
      </c>
      <c r="G5" s="865" t="s">
        <v>10</v>
      </c>
    </row>
    <row r="6" spans="1:7">
      <c r="A6" s="612" t="s">
        <v>6</v>
      </c>
      <c r="B6" s="612" t="s">
        <v>19</v>
      </c>
      <c r="C6" s="840">
        <v>150</v>
      </c>
      <c r="D6" s="838" t="s">
        <v>9</v>
      </c>
      <c r="E6" s="839">
        <v>770.34433955233214</v>
      </c>
      <c r="F6" s="839">
        <f>E6*C6</f>
        <v>115551.65093284982</v>
      </c>
      <c r="G6" s="865" t="s">
        <v>10</v>
      </c>
    </row>
    <row r="7" spans="1:7">
      <c r="A7" s="612" t="s">
        <v>6</v>
      </c>
      <c r="B7" s="612" t="s">
        <v>21</v>
      </c>
      <c r="C7" s="840">
        <v>32</v>
      </c>
      <c r="D7" s="838" t="s">
        <v>9</v>
      </c>
      <c r="E7" s="839">
        <v>3465.2650532849784</v>
      </c>
      <c r="F7" s="839">
        <f>E7*C7</f>
        <v>110888.48170511931</v>
      </c>
      <c r="G7" s="865" t="s">
        <v>10</v>
      </c>
    </row>
    <row r="8" spans="1:7">
      <c r="A8" s="612" t="s">
        <v>6</v>
      </c>
      <c r="B8" s="612" t="s">
        <v>23</v>
      </c>
      <c r="C8" s="840">
        <v>25</v>
      </c>
      <c r="D8" s="838" t="s">
        <v>9</v>
      </c>
      <c r="E8" s="839">
        <v>5308.6426927995235</v>
      </c>
      <c r="F8" s="839">
        <f>E8*C8</f>
        <v>132716.0673199881</v>
      </c>
      <c r="G8" s="865" t="s">
        <v>10</v>
      </c>
    </row>
    <row r="9" spans="1:7">
      <c r="A9" s="612" t="s">
        <v>6</v>
      </c>
      <c r="B9" s="612" t="s">
        <v>25</v>
      </c>
      <c r="C9" s="840">
        <v>200</v>
      </c>
      <c r="D9" s="838" t="s">
        <v>9</v>
      </c>
      <c r="E9" s="839">
        <v>2017.6500876823256</v>
      </c>
      <c r="F9" s="839">
        <f>E9*C9</f>
        <v>403530.01753646514</v>
      </c>
      <c r="G9" s="865" t="s">
        <v>10</v>
      </c>
    </row>
    <row r="10" spans="1:7">
      <c r="A10" s="612" t="s">
        <v>6</v>
      </c>
      <c r="B10" s="612" t="s">
        <v>27</v>
      </c>
      <c r="C10" s="840">
        <v>2228</v>
      </c>
      <c r="D10" s="838" t="s">
        <v>9</v>
      </c>
      <c r="E10" s="839">
        <v>490.89892940848245</v>
      </c>
      <c r="F10" s="839">
        <f>E10*C10</f>
        <v>1093722.8147220989</v>
      </c>
      <c r="G10" s="865" t="s">
        <v>10</v>
      </c>
    </row>
    <row r="11" spans="1:7">
      <c r="A11" s="612" t="s">
        <v>6</v>
      </c>
      <c r="B11" s="612" t="s">
        <v>29</v>
      </c>
      <c r="C11" s="840">
        <v>125</v>
      </c>
      <c r="D11" s="838" t="s">
        <v>9</v>
      </c>
      <c r="E11" s="839">
        <v>4660.6127006696488</v>
      </c>
      <c r="F11" s="839">
        <f>E11*C11</f>
        <v>582576.58758370613</v>
      </c>
      <c r="G11" s="865" t="s">
        <v>10</v>
      </c>
    </row>
    <row r="12" spans="1:7">
      <c r="A12" s="612" t="s">
        <v>6</v>
      </c>
      <c r="B12" s="612" t="s">
        <v>31</v>
      </c>
      <c r="C12" s="840">
        <v>100</v>
      </c>
      <c r="D12" s="838" t="s">
        <v>9</v>
      </c>
      <c r="E12" s="839">
        <v>3314.7199764384945</v>
      </c>
      <c r="F12" s="839">
        <f>E12*C12</f>
        <v>331471.99764384946</v>
      </c>
      <c r="G12" s="865" t="s">
        <v>10</v>
      </c>
    </row>
    <row r="13" spans="1:7">
      <c r="A13" s="612" t="s">
        <v>6</v>
      </c>
      <c r="B13" s="612" t="s">
        <v>33</v>
      </c>
      <c r="C13" s="840">
        <v>250</v>
      </c>
      <c r="D13" s="838" t="s">
        <v>9</v>
      </c>
      <c r="E13" s="839">
        <v>3187.5534161396367</v>
      </c>
      <c r="F13" s="839">
        <f>E13*C13</f>
        <v>796888.35403490916</v>
      </c>
      <c r="G13" s="865" t="s">
        <v>10</v>
      </c>
    </row>
    <row r="14" spans="1:7">
      <c r="A14" s="612" t="s">
        <v>6</v>
      </c>
      <c r="B14" s="612" t="s">
        <v>35</v>
      </c>
      <c r="C14" s="840">
        <v>102</v>
      </c>
      <c r="D14" s="838" t="s">
        <v>9</v>
      </c>
      <c r="E14" s="839">
        <v>1993.3011409578826</v>
      </c>
      <c r="F14" s="839">
        <f>E14*C14</f>
        <v>203316.71637770403</v>
      </c>
      <c r="G14" s="865" t="s">
        <v>10</v>
      </c>
    </row>
    <row r="15" spans="1:7">
      <c r="A15" s="612" t="s">
        <v>6</v>
      </c>
      <c r="B15" s="612" t="s">
        <v>37</v>
      </c>
      <c r="C15" s="840">
        <v>27</v>
      </c>
      <c r="D15" s="838" t="s">
        <v>9</v>
      </c>
      <c r="E15" s="839">
        <v>4318.151927557371</v>
      </c>
      <c r="F15" s="839">
        <f>E15*C15</f>
        <v>116590.10204404901</v>
      </c>
      <c r="G15" s="865" t="s">
        <v>10</v>
      </c>
    </row>
    <row r="16" spans="1:7">
      <c r="A16" s="612" t="s">
        <v>6</v>
      </c>
      <c r="B16" s="612" t="s">
        <v>39</v>
      </c>
      <c r="C16" s="840">
        <v>200</v>
      </c>
      <c r="D16" s="838" t="s">
        <v>9</v>
      </c>
      <c r="E16" s="839">
        <v>603.40089704241223</v>
      </c>
      <c r="F16" s="839">
        <f>E16*C16</f>
        <v>120680.17940848245</v>
      </c>
      <c r="G16" s="865" t="s">
        <v>10</v>
      </c>
    </row>
    <row r="17" spans="1:7">
      <c r="A17" s="612" t="s">
        <v>6</v>
      </c>
      <c r="B17" s="612" t="s">
        <v>41</v>
      </c>
      <c r="C17" s="840">
        <v>9</v>
      </c>
      <c r="D17" s="838" t="s">
        <v>9</v>
      </c>
      <c r="E17" s="839">
        <v>5704.1926090764136</v>
      </c>
      <c r="F17" s="839">
        <f>E17*C17</f>
        <v>51337.733481687726</v>
      </c>
      <c r="G17" s="865" t="s">
        <v>10</v>
      </c>
    </row>
    <row r="18" spans="1:7">
      <c r="A18" s="612" t="s">
        <v>6</v>
      </c>
      <c r="B18" s="612" t="s">
        <v>43</v>
      </c>
      <c r="C18" s="840">
        <v>24</v>
      </c>
      <c r="D18" s="838" t="s">
        <v>9</v>
      </c>
      <c r="E18" s="839">
        <v>5845.2857326537705</v>
      </c>
      <c r="F18" s="839">
        <f>E18*C18</f>
        <v>140286.85758369049</v>
      </c>
      <c r="G18" s="865" t="s">
        <v>10</v>
      </c>
    </row>
    <row r="19" spans="1:7">
      <c r="A19" s="612" t="s">
        <v>6</v>
      </c>
      <c r="B19" s="612" t="s">
        <v>45</v>
      </c>
      <c r="C19" s="840">
        <v>720</v>
      </c>
      <c r="D19" s="838" t="s">
        <v>9</v>
      </c>
      <c r="E19" s="839">
        <v>332.57658823164718</v>
      </c>
      <c r="F19" s="839">
        <f>E19*C19</f>
        <v>239455.14352678598</v>
      </c>
      <c r="G19" s="865" t="s">
        <v>10</v>
      </c>
    </row>
    <row r="20" spans="1:7">
      <c r="A20" s="612" t="s">
        <v>6</v>
      </c>
      <c r="B20" s="612" t="s">
        <v>47</v>
      </c>
      <c r="C20" s="840">
        <v>100</v>
      </c>
      <c r="D20" s="838" t="s">
        <v>9</v>
      </c>
      <c r="E20" s="839">
        <v>1046.875</v>
      </c>
      <c r="F20" s="839">
        <f>E20*C20</f>
        <v>104687.5</v>
      </c>
      <c r="G20" s="865" t="s">
        <v>10</v>
      </c>
    </row>
    <row r="21" spans="1:7">
      <c r="A21" s="612" t="s">
        <v>6</v>
      </c>
      <c r="B21" s="612" t="s">
        <v>49</v>
      </c>
      <c r="C21" s="840">
        <v>35</v>
      </c>
      <c r="D21" s="838" t="s">
        <v>9</v>
      </c>
      <c r="E21" s="839">
        <v>6008.9289574156746</v>
      </c>
      <c r="F21" s="839">
        <f>E21*C21</f>
        <v>210312.51350954862</v>
      </c>
      <c r="G21" s="865" t="s">
        <v>10</v>
      </c>
    </row>
    <row r="22" spans="1:7">
      <c r="A22" s="612" t="s">
        <v>6</v>
      </c>
      <c r="B22" s="612" t="s">
        <v>51</v>
      </c>
      <c r="C22" s="840">
        <v>42</v>
      </c>
      <c r="D22" s="838" t="s">
        <v>9</v>
      </c>
      <c r="E22" s="839">
        <v>2615</v>
      </c>
      <c r="F22" s="839">
        <f>E22*C22</f>
        <v>109830</v>
      </c>
      <c r="G22" s="865" t="s">
        <v>10</v>
      </c>
    </row>
    <row r="23" spans="1:7">
      <c r="A23" s="612" t="s">
        <v>6</v>
      </c>
      <c r="B23" s="612" t="s">
        <v>53</v>
      </c>
      <c r="C23" s="841">
        <v>277</v>
      </c>
      <c r="D23" s="838" t="s">
        <v>9</v>
      </c>
      <c r="E23" s="839">
        <v>414.06</v>
      </c>
      <c r="F23" s="839">
        <f>E23*C23</f>
        <v>114694.62</v>
      </c>
      <c r="G23" s="865" t="s">
        <v>10</v>
      </c>
    </row>
    <row r="24" spans="1:7">
      <c r="A24" s="612" t="s">
        <v>6</v>
      </c>
      <c r="B24" s="612" t="s">
        <v>55</v>
      </c>
      <c r="C24" s="840">
        <v>150</v>
      </c>
      <c r="D24" s="838" t="s">
        <v>9</v>
      </c>
      <c r="E24" s="839">
        <v>656.93</v>
      </c>
      <c r="F24" s="839">
        <f>E24*C24</f>
        <v>98539.499999999985</v>
      </c>
      <c r="G24" s="865" t="s">
        <v>10</v>
      </c>
    </row>
    <row r="25" spans="1:7">
      <c r="A25" s="612" t="s">
        <v>56</v>
      </c>
      <c r="B25" s="612" t="s">
        <v>8</v>
      </c>
      <c r="C25" s="840">
        <v>149</v>
      </c>
      <c r="D25" s="838" t="s">
        <v>9</v>
      </c>
      <c r="E25" s="839">
        <v>17628.016110227749</v>
      </c>
      <c r="F25" s="839">
        <f>E25*C25</f>
        <v>2626574.4004239347</v>
      </c>
      <c r="G25" s="865" t="s">
        <v>57</v>
      </c>
    </row>
    <row r="26" spans="1:7">
      <c r="A26" s="612" t="s">
        <v>56</v>
      </c>
      <c r="B26" s="612" t="s">
        <v>12</v>
      </c>
      <c r="C26" s="840">
        <v>1</v>
      </c>
      <c r="D26" s="838" t="s">
        <v>13</v>
      </c>
      <c r="E26" s="839">
        <v>3913419.5764705716</v>
      </c>
      <c r="F26" s="839">
        <f>E26*C26</f>
        <v>3913419.5764705716</v>
      </c>
      <c r="G26" s="865" t="s">
        <v>57</v>
      </c>
    </row>
    <row r="27" spans="1:7">
      <c r="A27" s="612" t="s">
        <v>56</v>
      </c>
      <c r="B27" s="612" t="s">
        <v>15</v>
      </c>
      <c r="C27" s="840">
        <v>150</v>
      </c>
      <c r="D27" s="838" t="s">
        <v>9</v>
      </c>
      <c r="E27" s="839">
        <v>9704.5206795968697</v>
      </c>
      <c r="F27" s="839">
        <f>E27*C27</f>
        <v>1455678.1019395306</v>
      </c>
      <c r="G27" s="865" t="s">
        <v>57</v>
      </c>
    </row>
    <row r="28" spans="1:7">
      <c r="A28" s="612" t="s">
        <v>56</v>
      </c>
      <c r="B28" s="861" t="s">
        <v>17</v>
      </c>
      <c r="C28" s="840">
        <v>1</v>
      </c>
      <c r="D28" s="838" t="s">
        <v>13</v>
      </c>
      <c r="E28" s="839">
        <v>1243796.0671016653</v>
      </c>
      <c r="F28" s="839">
        <f>E28*C28</f>
        <v>1243796.0671016653</v>
      </c>
      <c r="G28" s="865" t="s">
        <v>57</v>
      </c>
    </row>
    <row r="29" spans="1:7">
      <c r="A29" s="612" t="s">
        <v>56</v>
      </c>
      <c r="B29" s="612" t="s">
        <v>59</v>
      </c>
      <c r="C29" s="840">
        <v>25</v>
      </c>
      <c r="D29" s="838" t="s">
        <v>9</v>
      </c>
      <c r="E29" s="839">
        <v>18533.443254894697</v>
      </c>
      <c r="F29" s="839">
        <f>E29*C29</f>
        <v>463336.08137236745</v>
      </c>
      <c r="G29" s="865" t="s">
        <v>57</v>
      </c>
    </row>
    <row r="30" spans="1:7">
      <c r="A30" s="612" t="s">
        <v>56</v>
      </c>
      <c r="B30" s="612" t="s">
        <v>19</v>
      </c>
      <c r="C30" s="840">
        <v>200</v>
      </c>
      <c r="D30" s="838" t="s">
        <v>9</v>
      </c>
      <c r="E30" s="839">
        <v>770.34433955233214</v>
      </c>
      <c r="F30" s="839">
        <f>E30*C30</f>
        <v>154068.86791046642</v>
      </c>
      <c r="G30" s="865" t="s">
        <v>57</v>
      </c>
    </row>
    <row r="31" spans="1:7">
      <c r="A31" s="612" t="s">
        <v>56</v>
      </c>
      <c r="B31" s="612" t="s">
        <v>21</v>
      </c>
      <c r="C31" s="840">
        <v>48</v>
      </c>
      <c r="D31" s="838" t="s">
        <v>9</v>
      </c>
      <c r="E31" s="839">
        <v>3465.2650532849784</v>
      </c>
      <c r="F31" s="839">
        <f>E31*C31</f>
        <v>166332.72255767896</v>
      </c>
      <c r="G31" s="865" t="s">
        <v>57</v>
      </c>
    </row>
    <row r="32" spans="1:7">
      <c r="A32" s="861" t="s">
        <v>56</v>
      </c>
      <c r="B32" s="612" t="s">
        <v>23</v>
      </c>
      <c r="C32" s="840">
        <v>50</v>
      </c>
      <c r="D32" s="838" t="s">
        <v>9</v>
      </c>
      <c r="E32" s="839">
        <v>5308.6426927995235</v>
      </c>
      <c r="F32" s="839">
        <f>E32*C32</f>
        <v>265432.1346399762</v>
      </c>
      <c r="G32" s="865" t="s">
        <v>57</v>
      </c>
    </row>
    <row r="33" spans="1:7">
      <c r="A33" s="612" t="s">
        <v>56</v>
      </c>
      <c r="B33" s="612" t="s">
        <v>29</v>
      </c>
      <c r="C33" s="840">
        <v>560</v>
      </c>
      <c r="D33" s="838" t="s">
        <v>9</v>
      </c>
      <c r="E33" s="839">
        <v>4660.6127006696488</v>
      </c>
      <c r="F33" s="839">
        <f>E33*C33</f>
        <v>2609943.1123750033</v>
      </c>
      <c r="G33" s="865" t="s">
        <v>57</v>
      </c>
    </row>
    <row r="34" spans="1:7">
      <c r="A34" s="612" t="s">
        <v>56</v>
      </c>
      <c r="B34" s="612" t="s">
        <v>61</v>
      </c>
      <c r="C34" s="840">
        <v>100</v>
      </c>
      <c r="D34" s="838" t="s">
        <v>9</v>
      </c>
      <c r="E34" s="839">
        <v>14857.939794759593</v>
      </c>
      <c r="F34" s="839">
        <f>E34*C34</f>
        <v>1485793.9794759594</v>
      </c>
      <c r="G34" s="865" t="s">
        <v>57</v>
      </c>
    </row>
    <row r="35" spans="1:7">
      <c r="A35" s="612" t="s">
        <v>56</v>
      </c>
      <c r="B35" s="612" t="s">
        <v>31</v>
      </c>
      <c r="C35" s="840">
        <v>395</v>
      </c>
      <c r="D35" s="838" t="s">
        <v>9</v>
      </c>
      <c r="E35" s="839">
        <v>3314.7199764384945</v>
      </c>
      <c r="F35" s="839">
        <f>E35*C35</f>
        <v>1309314.3906932054</v>
      </c>
      <c r="G35" s="865" t="s">
        <v>57</v>
      </c>
    </row>
    <row r="36" spans="1:7">
      <c r="A36" s="612" t="s">
        <v>56</v>
      </c>
      <c r="B36" s="612" t="s">
        <v>35</v>
      </c>
      <c r="C36" s="842">
        <v>263</v>
      </c>
      <c r="D36" s="838" t="s">
        <v>9</v>
      </c>
      <c r="E36" s="839">
        <v>1993.3011409578826</v>
      </c>
      <c r="F36" s="839">
        <f>E36*C36</f>
        <v>524238.20007192314</v>
      </c>
      <c r="G36" s="865" t="s">
        <v>57</v>
      </c>
    </row>
    <row r="37" spans="1:7">
      <c r="A37" s="861" t="s">
        <v>56</v>
      </c>
      <c r="B37" s="612" t="s">
        <v>63</v>
      </c>
      <c r="C37" s="840">
        <v>5</v>
      </c>
      <c r="D37" s="838" t="s">
        <v>64</v>
      </c>
      <c r="E37" s="839">
        <v>80668</v>
      </c>
      <c r="F37" s="839">
        <f>E37*C37</f>
        <v>403340</v>
      </c>
      <c r="G37" s="865" t="s">
        <v>57</v>
      </c>
    </row>
    <row r="38" spans="1:7">
      <c r="A38" s="861" t="s">
        <v>56</v>
      </c>
      <c r="B38" s="612" t="s">
        <v>37</v>
      </c>
      <c r="C38" s="840">
        <v>70</v>
      </c>
      <c r="D38" s="838" t="s">
        <v>9</v>
      </c>
      <c r="E38" s="839">
        <v>4318.151927557371</v>
      </c>
      <c r="F38" s="839">
        <f>E38*C38</f>
        <v>302270.63492901594</v>
      </c>
      <c r="G38" s="865" t="s">
        <v>57</v>
      </c>
    </row>
    <row r="39" spans="1:7">
      <c r="A39" s="612" t="s">
        <v>56</v>
      </c>
      <c r="B39" s="612" t="s">
        <v>39</v>
      </c>
      <c r="C39" s="840">
        <v>260</v>
      </c>
      <c r="D39" s="838" t="s">
        <v>9</v>
      </c>
      <c r="E39" s="839">
        <v>603.40089704241223</v>
      </c>
      <c r="F39" s="839">
        <f>E39*C39</f>
        <v>156884.23323102717</v>
      </c>
      <c r="G39" s="865" t="s">
        <v>57</v>
      </c>
    </row>
    <row r="40" spans="1:7">
      <c r="A40" s="612" t="s">
        <v>56</v>
      </c>
      <c r="B40" s="612" t="s">
        <v>41</v>
      </c>
      <c r="C40" s="840">
        <v>36</v>
      </c>
      <c r="D40" s="838" t="s">
        <v>9</v>
      </c>
      <c r="E40" s="839">
        <v>5704.1926090764136</v>
      </c>
      <c r="F40" s="839">
        <f>E40*C40</f>
        <v>205350.93392675091</v>
      </c>
      <c r="G40" s="865" t="s">
        <v>57</v>
      </c>
    </row>
    <row r="41" spans="1:7">
      <c r="A41" s="612" t="s">
        <v>56</v>
      </c>
      <c r="B41" s="612" t="s">
        <v>47</v>
      </c>
      <c r="C41" s="840">
        <v>260</v>
      </c>
      <c r="D41" s="838" t="s">
        <v>9</v>
      </c>
      <c r="E41" s="839">
        <v>1046.875</v>
      </c>
      <c r="F41" s="839">
        <f>E41*C41</f>
        <v>272187.5</v>
      </c>
      <c r="G41" s="865" t="s">
        <v>57</v>
      </c>
    </row>
    <row r="42" spans="1:7">
      <c r="A42" s="612" t="s">
        <v>56</v>
      </c>
      <c r="B42" s="612" t="s">
        <v>49</v>
      </c>
      <c r="C42" s="840">
        <v>40</v>
      </c>
      <c r="D42" s="838" t="s">
        <v>9</v>
      </c>
      <c r="E42" s="839">
        <v>6008.9289574156746</v>
      </c>
      <c r="F42" s="839">
        <f>E42*C42</f>
        <v>240357.15829662699</v>
      </c>
      <c r="G42" s="865" t="s">
        <v>57</v>
      </c>
    </row>
    <row r="43" spans="1:7">
      <c r="A43" s="612" t="s">
        <v>56</v>
      </c>
      <c r="B43" s="612" t="s">
        <v>51</v>
      </c>
      <c r="C43" s="840">
        <v>106</v>
      </c>
      <c r="D43" s="838" t="s">
        <v>9</v>
      </c>
      <c r="E43" s="839">
        <v>2615</v>
      </c>
      <c r="F43" s="839">
        <f>E43*C43</f>
        <v>277190</v>
      </c>
      <c r="G43" s="865" t="s">
        <v>57</v>
      </c>
    </row>
    <row r="44" spans="1:7">
      <c r="A44" s="612" t="s">
        <v>56</v>
      </c>
      <c r="B44" s="612" t="s">
        <v>53</v>
      </c>
      <c r="C44" s="841">
        <v>719</v>
      </c>
      <c r="D44" s="838" t="s">
        <v>9</v>
      </c>
      <c r="E44" s="839">
        <v>414.06</v>
      </c>
      <c r="F44" s="839">
        <f>E44*C44</f>
        <v>297709.14</v>
      </c>
      <c r="G44" s="865" t="s">
        <v>57</v>
      </c>
    </row>
    <row r="45" spans="1:7">
      <c r="A45" s="612" t="s">
        <v>56</v>
      </c>
      <c r="B45" s="612" t="s">
        <v>55</v>
      </c>
      <c r="C45" s="840">
        <v>200</v>
      </c>
      <c r="D45" s="838" t="s">
        <v>9</v>
      </c>
      <c r="E45" s="839">
        <v>656.93</v>
      </c>
      <c r="F45" s="839">
        <f>E45*C45</f>
        <v>131386</v>
      </c>
      <c r="G45" s="865" t="s">
        <v>57</v>
      </c>
    </row>
    <row r="46" spans="1:7">
      <c r="A46" s="612" t="s">
        <v>65</v>
      </c>
      <c r="B46" s="612" t="s">
        <v>8</v>
      </c>
      <c r="C46" s="840">
        <v>148</v>
      </c>
      <c r="D46" s="838" t="s">
        <v>9</v>
      </c>
      <c r="E46" s="839">
        <v>17628.016110227749</v>
      </c>
      <c r="F46" s="839">
        <f>E46*C46</f>
        <v>2608946.3843137068</v>
      </c>
      <c r="G46" s="865" t="s">
        <v>57</v>
      </c>
    </row>
    <row r="47" spans="1:7">
      <c r="A47" s="612" t="s">
        <v>65</v>
      </c>
      <c r="B47" s="612" t="s">
        <v>12</v>
      </c>
      <c r="C47" s="840">
        <v>1</v>
      </c>
      <c r="D47" s="838" t="s">
        <v>13</v>
      </c>
      <c r="E47" s="839">
        <v>2842517.5977742327</v>
      </c>
      <c r="F47" s="839">
        <f>E47*C47</f>
        <v>2842517.5977742327</v>
      </c>
      <c r="G47" s="865" t="s">
        <v>57</v>
      </c>
    </row>
    <row r="48" spans="1:7">
      <c r="A48" s="612" t="s">
        <v>65</v>
      </c>
      <c r="B48" s="612" t="s">
        <v>15</v>
      </c>
      <c r="C48" s="840">
        <v>149</v>
      </c>
      <c r="D48" s="838" t="s">
        <v>9</v>
      </c>
      <c r="E48" s="839">
        <v>9704.5206795968697</v>
      </c>
      <c r="F48" s="839">
        <f>E48*C48</f>
        <v>1445973.5812599335</v>
      </c>
      <c r="G48" s="865" t="s">
        <v>57</v>
      </c>
    </row>
    <row r="49" spans="1:7">
      <c r="A49" s="612" t="s">
        <v>65</v>
      </c>
      <c r="B49" s="861" t="s">
        <v>17</v>
      </c>
      <c r="C49" s="840">
        <v>1</v>
      </c>
      <c r="D49" s="838" t="s">
        <v>13</v>
      </c>
      <c r="E49" s="839">
        <v>1018974.6713576713</v>
      </c>
      <c r="F49" s="839">
        <f>E49*C49</f>
        <v>1018974.6713576713</v>
      </c>
      <c r="G49" s="865" t="s">
        <v>57</v>
      </c>
    </row>
    <row r="50" spans="1:7">
      <c r="A50" s="612" t="s">
        <v>65</v>
      </c>
      <c r="B50" s="612" t="s">
        <v>67</v>
      </c>
      <c r="C50" s="840">
        <v>220</v>
      </c>
      <c r="D50" s="838" t="s">
        <v>9</v>
      </c>
      <c r="E50" s="839">
        <v>12758.168780248234</v>
      </c>
      <c r="F50" s="839">
        <f>E50*C50</f>
        <v>2806797.1316546113</v>
      </c>
      <c r="G50" s="865" t="s">
        <v>57</v>
      </c>
    </row>
    <row r="51" spans="1:7">
      <c r="A51" s="612" t="s">
        <v>65</v>
      </c>
      <c r="B51" s="612" t="s">
        <v>69</v>
      </c>
      <c r="C51" s="840">
        <v>120</v>
      </c>
      <c r="D51" s="838" t="s">
        <v>9</v>
      </c>
      <c r="E51" s="839">
        <v>10423.500123998232</v>
      </c>
      <c r="F51" s="839">
        <f>E51*C51</f>
        <v>1250820.0148797878</v>
      </c>
      <c r="G51" s="865" t="s">
        <v>57</v>
      </c>
    </row>
    <row r="52" spans="1:7">
      <c r="A52" s="612" t="s">
        <v>65</v>
      </c>
      <c r="B52" s="612" t="s">
        <v>71</v>
      </c>
      <c r="C52" s="840">
        <v>50</v>
      </c>
      <c r="D52" s="838" t="s">
        <v>9</v>
      </c>
      <c r="E52" s="839">
        <v>4022.7657623938685</v>
      </c>
      <c r="F52" s="839">
        <f>E52*C52</f>
        <v>201138.28811969343</v>
      </c>
      <c r="G52" s="865" t="s">
        <v>57</v>
      </c>
    </row>
    <row r="53" spans="1:7">
      <c r="A53" s="612" t="s">
        <v>65</v>
      </c>
      <c r="B53" s="612" t="s">
        <v>19</v>
      </c>
      <c r="C53" s="840">
        <v>200</v>
      </c>
      <c r="D53" s="838" t="s">
        <v>9</v>
      </c>
      <c r="E53" s="839">
        <v>770.34433955233214</v>
      </c>
      <c r="F53" s="839">
        <f>E53*C53</f>
        <v>154068.86791046642</v>
      </c>
      <c r="G53" s="865" t="s">
        <v>57</v>
      </c>
    </row>
    <row r="54" spans="1:7">
      <c r="A54" s="612" t="s">
        <v>65</v>
      </c>
      <c r="B54" s="612" t="s">
        <v>21</v>
      </c>
      <c r="C54" s="840">
        <v>47</v>
      </c>
      <c r="D54" s="838" t="s">
        <v>9</v>
      </c>
      <c r="E54" s="839">
        <v>3465.2650532849784</v>
      </c>
      <c r="F54" s="839">
        <f>E54*C54</f>
        <v>162867.457504394</v>
      </c>
      <c r="G54" s="865" t="s">
        <v>57</v>
      </c>
    </row>
    <row r="55" spans="1:7">
      <c r="A55" s="861" t="s">
        <v>65</v>
      </c>
      <c r="B55" s="612" t="s">
        <v>23</v>
      </c>
      <c r="C55" s="840">
        <v>50</v>
      </c>
      <c r="D55" s="838" t="s">
        <v>9</v>
      </c>
      <c r="E55" s="839">
        <v>5308.6426927995235</v>
      </c>
      <c r="F55" s="839">
        <f>E55*C55</f>
        <v>265432.1346399762</v>
      </c>
      <c r="G55" s="865" t="s">
        <v>57</v>
      </c>
    </row>
    <row r="56" spans="1:7">
      <c r="A56" s="612" t="s">
        <v>65</v>
      </c>
      <c r="B56" s="612" t="s">
        <v>29</v>
      </c>
      <c r="C56" s="840">
        <v>250</v>
      </c>
      <c r="D56" s="838" t="s">
        <v>9</v>
      </c>
      <c r="E56" s="839">
        <v>4660.6127006696488</v>
      </c>
      <c r="F56" s="839">
        <f>E56*C56</f>
        <v>1165153.1751674123</v>
      </c>
      <c r="G56" s="865" t="s">
        <v>57</v>
      </c>
    </row>
    <row r="57" spans="1:7">
      <c r="A57" s="612" t="s">
        <v>65</v>
      </c>
      <c r="B57" s="612" t="s">
        <v>61</v>
      </c>
      <c r="C57" s="840">
        <v>100</v>
      </c>
      <c r="D57" s="838" t="s">
        <v>9</v>
      </c>
      <c r="E57" s="839">
        <v>14857.939794759593</v>
      </c>
      <c r="F57" s="839">
        <f>E57*C57</f>
        <v>1485793.9794759594</v>
      </c>
      <c r="G57" s="865" t="s">
        <v>57</v>
      </c>
    </row>
    <row r="58" spans="1:7">
      <c r="A58" s="612" t="s">
        <v>65</v>
      </c>
      <c r="B58" s="612" t="s">
        <v>31</v>
      </c>
      <c r="C58" s="840">
        <v>170</v>
      </c>
      <c r="D58" s="838" t="s">
        <v>9</v>
      </c>
      <c r="E58" s="839">
        <v>3314.7199764384945</v>
      </c>
      <c r="F58" s="839">
        <f>E58*C58</f>
        <v>563502.39599454403</v>
      </c>
      <c r="G58" s="865" t="s">
        <v>57</v>
      </c>
    </row>
    <row r="59" spans="1:7">
      <c r="A59" s="612" t="s">
        <v>65</v>
      </c>
      <c r="B59" s="612" t="s">
        <v>35</v>
      </c>
      <c r="C59" s="842">
        <v>264</v>
      </c>
      <c r="D59" s="838" t="s">
        <v>9</v>
      </c>
      <c r="E59" s="839">
        <v>1993.3011409578826</v>
      </c>
      <c r="F59" s="839">
        <f>E59*C59</f>
        <v>526231.50121288095</v>
      </c>
      <c r="G59" s="865" t="s">
        <v>57</v>
      </c>
    </row>
    <row r="60" spans="1:7">
      <c r="A60" s="861" t="s">
        <v>65</v>
      </c>
      <c r="B60" s="612" t="s">
        <v>63</v>
      </c>
      <c r="C60" s="840">
        <v>5</v>
      </c>
      <c r="D60" s="838" t="s">
        <v>64</v>
      </c>
      <c r="E60" s="839">
        <v>80668</v>
      </c>
      <c r="F60" s="839">
        <f>E60*C60</f>
        <v>403340</v>
      </c>
      <c r="G60" s="865" t="s">
        <v>57</v>
      </c>
    </row>
    <row r="61" spans="1:7">
      <c r="A61" s="861" t="s">
        <v>65</v>
      </c>
      <c r="B61" s="612" t="s">
        <v>37</v>
      </c>
      <c r="C61" s="840">
        <v>70</v>
      </c>
      <c r="D61" s="838" t="s">
        <v>9</v>
      </c>
      <c r="E61" s="839">
        <v>4318.151927557371</v>
      </c>
      <c r="F61" s="839">
        <f>E61*C61</f>
        <v>302270.63492901594</v>
      </c>
      <c r="G61" s="865" t="s">
        <v>57</v>
      </c>
    </row>
    <row r="62" spans="1:7">
      <c r="A62" s="612" t="s">
        <v>65</v>
      </c>
      <c r="B62" s="612" t="s">
        <v>39</v>
      </c>
      <c r="C62" s="840">
        <v>150</v>
      </c>
      <c r="D62" s="838" t="s">
        <v>9</v>
      </c>
      <c r="E62" s="839">
        <v>603.40089704241223</v>
      </c>
      <c r="F62" s="839">
        <f>E62*C62</f>
        <v>90510.134556361838</v>
      </c>
      <c r="G62" s="865" t="s">
        <v>57</v>
      </c>
    </row>
    <row r="63" spans="1:7">
      <c r="A63" s="612" t="s">
        <v>65</v>
      </c>
      <c r="B63" s="612" t="s">
        <v>41</v>
      </c>
      <c r="C63" s="840">
        <v>36</v>
      </c>
      <c r="D63" s="838" t="s">
        <v>9</v>
      </c>
      <c r="E63" s="839">
        <v>5704.1926090764136</v>
      </c>
      <c r="F63" s="839">
        <f>E63*C63</f>
        <v>205350.93392675091</v>
      </c>
      <c r="G63" s="865" t="s">
        <v>57</v>
      </c>
    </row>
    <row r="64" spans="1:7">
      <c r="A64" s="612" t="s">
        <v>65</v>
      </c>
      <c r="B64" s="612" t="s">
        <v>47</v>
      </c>
      <c r="C64" s="840">
        <v>100</v>
      </c>
      <c r="D64" s="838" t="s">
        <v>9</v>
      </c>
      <c r="E64" s="839">
        <v>1046.875</v>
      </c>
      <c r="F64" s="839">
        <f>E64*C64</f>
        <v>104687.5</v>
      </c>
      <c r="G64" s="865" t="s">
        <v>57</v>
      </c>
    </row>
    <row r="65" spans="1:7">
      <c r="A65" s="612" t="s">
        <v>65</v>
      </c>
      <c r="B65" s="612" t="s">
        <v>49</v>
      </c>
      <c r="C65" s="840">
        <v>40</v>
      </c>
      <c r="D65" s="838" t="s">
        <v>9</v>
      </c>
      <c r="E65" s="839">
        <v>6008.9289574156746</v>
      </c>
      <c r="F65" s="839">
        <f>E65*C65</f>
        <v>240357.15829662699</v>
      </c>
      <c r="G65" s="865" t="s">
        <v>57</v>
      </c>
    </row>
    <row r="66" spans="1:7">
      <c r="A66" s="612" t="s">
        <v>65</v>
      </c>
      <c r="B66" s="612" t="s">
        <v>51</v>
      </c>
      <c r="C66" s="840">
        <v>105</v>
      </c>
      <c r="D66" s="838" t="s">
        <v>9</v>
      </c>
      <c r="E66" s="839">
        <v>2615</v>
      </c>
      <c r="F66" s="839">
        <f>E66*C66</f>
        <v>274575</v>
      </c>
      <c r="G66" s="865" t="s">
        <v>57</v>
      </c>
    </row>
    <row r="67" spans="1:7">
      <c r="A67" s="612" t="s">
        <v>65</v>
      </c>
      <c r="B67" s="612" t="s">
        <v>53</v>
      </c>
      <c r="C67" s="841">
        <v>718</v>
      </c>
      <c r="D67" s="838" t="s">
        <v>9</v>
      </c>
      <c r="E67" s="839">
        <v>414.06</v>
      </c>
      <c r="F67" s="839">
        <f>E67*C67</f>
        <v>297295.08</v>
      </c>
      <c r="G67" s="865" t="s">
        <v>57</v>
      </c>
    </row>
    <row r="68" spans="1:7">
      <c r="A68" s="612" t="s">
        <v>65</v>
      </c>
      <c r="B68" s="612" t="s">
        <v>55</v>
      </c>
      <c r="C68" s="840">
        <v>200</v>
      </c>
      <c r="D68" s="838" t="s">
        <v>9</v>
      </c>
      <c r="E68" s="839">
        <v>656.93</v>
      </c>
      <c r="F68" s="839">
        <f>E68*C68</f>
        <v>131386</v>
      </c>
      <c r="G68" s="865" t="s">
        <v>57</v>
      </c>
    </row>
    <row r="69" spans="1:7">
      <c r="A69" s="612" t="s">
        <v>72</v>
      </c>
      <c r="B69" s="612" t="s">
        <v>29</v>
      </c>
      <c r="C69" s="840">
        <v>515</v>
      </c>
      <c r="D69" s="838" t="s">
        <v>9</v>
      </c>
      <c r="E69" s="839">
        <v>4660.6127006696488</v>
      </c>
      <c r="F69" s="839">
        <f>E69*C69</f>
        <v>2400215.5408448693</v>
      </c>
      <c r="G69" s="865" t="s">
        <v>73</v>
      </c>
    </row>
    <row r="70" spans="1:7">
      <c r="A70" s="612" t="s">
        <v>72</v>
      </c>
      <c r="B70" s="612" t="s">
        <v>61</v>
      </c>
      <c r="C70" s="840">
        <v>100</v>
      </c>
      <c r="D70" s="838" t="s">
        <v>9</v>
      </c>
      <c r="E70" s="839">
        <v>14857.939794759593</v>
      </c>
      <c r="F70" s="839">
        <f>E70*C70</f>
        <v>1485793.9794759594</v>
      </c>
      <c r="G70" s="865" t="s">
        <v>73</v>
      </c>
    </row>
    <row r="71" spans="1:7">
      <c r="A71" s="612" t="s">
        <v>72</v>
      </c>
      <c r="B71" s="612" t="s">
        <v>75</v>
      </c>
      <c r="C71" s="840">
        <v>1</v>
      </c>
      <c r="D71" s="838" t="s">
        <v>13</v>
      </c>
      <c r="E71" s="839">
        <v>1436802.9234951097</v>
      </c>
      <c r="F71" s="839">
        <f>E71*C71</f>
        <v>1436802.9234951097</v>
      </c>
      <c r="G71" s="865" t="s">
        <v>73</v>
      </c>
    </row>
    <row r="72" spans="1:7">
      <c r="A72" s="612" t="s">
        <v>76</v>
      </c>
      <c r="B72" s="612" t="s">
        <v>8</v>
      </c>
      <c r="C72" s="840">
        <v>76.3</v>
      </c>
      <c r="D72" s="838" t="s">
        <v>9</v>
      </c>
      <c r="E72" s="839">
        <v>17628.016110227749</v>
      </c>
      <c r="F72" s="839">
        <f>E72*C72</f>
        <v>1345017.6292103771</v>
      </c>
      <c r="G72" s="865" t="s">
        <v>77</v>
      </c>
    </row>
    <row r="73" spans="1:7">
      <c r="A73" s="612" t="s">
        <v>76</v>
      </c>
      <c r="B73" s="612" t="s">
        <v>12</v>
      </c>
      <c r="C73" s="840">
        <v>1</v>
      </c>
      <c r="D73" s="838" t="s">
        <v>13</v>
      </c>
      <c r="E73" s="839">
        <v>988637.9035152758</v>
      </c>
      <c r="F73" s="839">
        <f>E73*C73</f>
        <v>988637.9035152758</v>
      </c>
      <c r="G73" s="865" t="s">
        <v>77</v>
      </c>
    </row>
    <row r="74" spans="1:7">
      <c r="A74" s="612" t="s">
        <v>76</v>
      </c>
      <c r="B74" s="612" t="s">
        <v>15</v>
      </c>
      <c r="C74" s="840">
        <v>123</v>
      </c>
      <c r="D74" s="838" t="s">
        <v>9</v>
      </c>
      <c r="E74" s="839">
        <v>9704.5206795968697</v>
      </c>
      <c r="F74" s="839">
        <f>E74*C74</f>
        <v>1193656.043590415</v>
      </c>
      <c r="G74" s="865" t="s">
        <v>77</v>
      </c>
    </row>
    <row r="75" spans="1:7">
      <c r="A75" s="612" t="s">
        <v>76</v>
      </c>
      <c r="B75" s="861" t="s">
        <v>17</v>
      </c>
      <c r="C75" s="840">
        <v>1</v>
      </c>
      <c r="D75" s="838" t="s">
        <v>13</v>
      </c>
      <c r="E75" s="839">
        <v>740778.41187589441</v>
      </c>
      <c r="F75" s="839">
        <f>E75*C75</f>
        <v>740778.41187589441</v>
      </c>
      <c r="G75" s="865" t="s">
        <v>77</v>
      </c>
    </row>
    <row r="76" spans="1:7">
      <c r="A76" s="612" t="s">
        <v>76</v>
      </c>
      <c r="B76" s="612" t="s">
        <v>59</v>
      </c>
      <c r="C76" s="840">
        <v>10</v>
      </c>
      <c r="D76" s="838" t="s">
        <v>9</v>
      </c>
      <c r="E76" s="839">
        <v>18533.443254894697</v>
      </c>
      <c r="F76" s="839">
        <f>E76*C76</f>
        <v>185334.43254894696</v>
      </c>
      <c r="G76" s="865" t="s">
        <v>77</v>
      </c>
    </row>
    <row r="77" spans="1:7">
      <c r="A77" s="612" t="s">
        <v>76</v>
      </c>
      <c r="B77" s="612" t="s">
        <v>79</v>
      </c>
      <c r="C77" s="840">
        <v>25</v>
      </c>
      <c r="D77" s="838" t="s">
        <v>9</v>
      </c>
      <c r="E77" s="839">
        <v>21257.799804454229</v>
      </c>
      <c r="F77" s="839">
        <f>E77*C77</f>
        <v>531444.99511135567</v>
      </c>
      <c r="G77" s="865" t="s">
        <v>77</v>
      </c>
    </row>
    <row r="78" spans="1:7">
      <c r="A78" s="612" t="s">
        <v>76</v>
      </c>
      <c r="B78" s="612" t="s">
        <v>19</v>
      </c>
      <c r="C78" s="840">
        <v>220</v>
      </c>
      <c r="D78" s="838" t="s">
        <v>9</v>
      </c>
      <c r="E78" s="839">
        <v>770.34433955233214</v>
      </c>
      <c r="F78" s="839">
        <f>E78*C78</f>
        <v>169475.75470151307</v>
      </c>
      <c r="G78" s="865" t="s">
        <v>77</v>
      </c>
    </row>
    <row r="79" spans="1:7">
      <c r="A79" s="612" t="s">
        <v>76</v>
      </c>
      <c r="B79" s="612" t="s">
        <v>21</v>
      </c>
      <c r="C79" s="840">
        <v>20</v>
      </c>
      <c r="D79" s="838" t="s">
        <v>9</v>
      </c>
      <c r="E79" s="839">
        <v>3465.2650532849784</v>
      </c>
      <c r="F79" s="839">
        <f>E79*C79</f>
        <v>69305.301065699576</v>
      </c>
      <c r="G79" s="865" t="s">
        <v>77</v>
      </c>
    </row>
    <row r="80" spans="1:7">
      <c r="A80" s="612" t="s">
        <v>76</v>
      </c>
      <c r="B80" s="612" t="s">
        <v>23</v>
      </c>
      <c r="C80" s="840">
        <v>30</v>
      </c>
      <c r="D80" s="838" t="s">
        <v>9</v>
      </c>
      <c r="E80" s="839">
        <v>5308.6426927995235</v>
      </c>
      <c r="F80" s="839">
        <f>E80*C80</f>
        <v>159259.28078398571</v>
      </c>
      <c r="G80" s="865" t="s">
        <v>77</v>
      </c>
    </row>
    <row r="81" spans="1:7">
      <c r="A81" s="612" t="s">
        <v>76</v>
      </c>
      <c r="B81" s="612" t="s">
        <v>25</v>
      </c>
      <c r="C81" s="840">
        <v>200</v>
      </c>
      <c r="D81" s="838" t="s">
        <v>9</v>
      </c>
      <c r="E81" s="839">
        <v>2017.6500876823256</v>
      </c>
      <c r="F81" s="839">
        <f>E81*C81</f>
        <v>403530.01753646514</v>
      </c>
      <c r="G81" s="865" t="s">
        <v>77</v>
      </c>
    </row>
    <row r="82" spans="1:7">
      <c r="A82" s="612" t="s">
        <v>76</v>
      </c>
      <c r="B82" s="612" t="s">
        <v>27</v>
      </c>
      <c r="C82" s="840">
        <v>2599</v>
      </c>
      <c r="D82" s="838" t="s">
        <v>9</v>
      </c>
      <c r="E82" s="839">
        <v>490.89892940848245</v>
      </c>
      <c r="F82" s="839">
        <f>E82*C82</f>
        <v>1275846.3175326458</v>
      </c>
      <c r="G82" s="865" t="s">
        <v>77</v>
      </c>
    </row>
    <row r="83" spans="1:7">
      <c r="A83" s="612" t="s">
        <v>76</v>
      </c>
      <c r="B83" s="612" t="s">
        <v>29</v>
      </c>
      <c r="C83" s="840">
        <v>150</v>
      </c>
      <c r="D83" s="838" t="s">
        <v>9</v>
      </c>
      <c r="E83" s="839">
        <v>4660.6127006696488</v>
      </c>
      <c r="F83" s="839">
        <f>E83*C83</f>
        <v>699091.90510044736</v>
      </c>
      <c r="G83" s="865" t="s">
        <v>77</v>
      </c>
    </row>
    <row r="84" spans="1:7">
      <c r="A84" s="612" t="s">
        <v>76</v>
      </c>
      <c r="B84" s="612" t="s">
        <v>31</v>
      </c>
      <c r="C84" s="840">
        <v>80</v>
      </c>
      <c r="D84" s="838" t="s">
        <v>9</v>
      </c>
      <c r="E84" s="839">
        <v>3314.7199764384945</v>
      </c>
      <c r="F84" s="839">
        <f>E84*C84</f>
        <v>265177.59811507957</v>
      </c>
      <c r="G84" s="865" t="s">
        <v>77</v>
      </c>
    </row>
    <row r="85" spans="1:7">
      <c r="A85" s="612" t="s">
        <v>76</v>
      </c>
      <c r="B85" s="612" t="s">
        <v>33</v>
      </c>
      <c r="C85" s="840">
        <v>300</v>
      </c>
      <c r="D85" s="838" t="s">
        <v>9</v>
      </c>
      <c r="E85" s="839">
        <v>3187.5534161396367</v>
      </c>
      <c r="F85" s="839">
        <f>E85*C85</f>
        <v>956266.02484189102</v>
      </c>
      <c r="G85" s="865" t="s">
        <v>77</v>
      </c>
    </row>
    <row r="86" spans="1:7">
      <c r="A86" s="612" t="s">
        <v>76</v>
      </c>
      <c r="B86" s="612" t="s">
        <v>35</v>
      </c>
      <c r="C86" s="840">
        <v>162</v>
      </c>
      <c r="D86" s="838" t="s">
        <v>9</v>
      </c>
      <c r="E86" s="839">
        <v>1993.3011409578826</v>
      </c>
      <c r="F86" s="839">
        <f>E86*C86</f>
        <v>322914.78483517695</v>
      </c>
      <c r="G86" s="865" t="s">
        <v>77</v>
      </c>
    </row>
    <row r="87" spans="1:7">
      <c r="A87" s="612" t="s">
        <v>76</v>
      </c>
      <c r="B87" s="612" t="s">
        <v>37</v>
      </c>
      <c r="C87" s="840">
        <v>46</v>
      </c>
      <c r="D87" s="838" t="s">
        <v>9</v>
      </c>
      <c r="E87" s="839">
        <v>4318.151927557371</v>
      </c>
      <c r="F87" s="839">
        <f>E87*C87</f>
        <v>198634.98866763906</v>
      </c>
      <c r="G87" s="865" t="s">
        <v>77</v>
      </c>
    </row>
    <row r="88" spans="1:7">
      <c r="A88" s="612" t="s">
        <v>76</v>
      </c>
      <c r="B88" s="612" t="s">
        <v>39</v>
      </c>
      <c r="C88" s="840">
        <v>200</v>
      </c>
      <c r="D88" s="838" t="s">
        <v>9</v>
      </c>
      <c r="E88" s="839">
        <v>603.40089704241223</v>
      </c>
      <c r="F88" s="839">
        <f>E88*C88</f>
        <v>120680.17940848245</v>
      </c>
      <c r="G88" s="865" t="s">
        <v>77</v>
      </c>
    </row>
    <row r="89" spans="1:7">
      <c r="A89" s="612" t="s">
        <v>76</v>
      </c>
      <c r="B89" s="612" t="s">
        <v>41</v>
      </c>
      <c r="C89" s="840">
        <v>23</v>
      </c>
      <c r="D89" s="838" t="s">
        <v>9</v>
      </c>
      <c r="E89" s="839">
        <v>5704.1926090764136</v>
      </c>
      <c r="F89" s="839">
        <f>E89*C89</f>
        <v>131196.43000875751</v>
      </c>
      <c r="G89" s="865" t="s">
        <v>77</v>
      </c>
    </row>
    <row r="90" spans="1:7">
      <c r="A90" s="612" t="s">
        <v>76</v>
      </c>
      <c r="B90" s="612" t="s">
        <v>43</v>
      </c>
      <c r="C90" s="840">
        <v>24</v>
      </c>
      <c r="D90" s="838" t="s">
        <v>9</v>
      </c>
      <c r="E90" s="839">
        <v>5845.2857326537705</v>
      </c>
      <c r="F90" s="839">
        <f>E90*C90</f>
        <v>140286.85758369049</v>
      </c>
      <c r="G90" s="865" t="s">
        <v>77</v>
      </c>
    </row>
    <row r="91" spans="1:7">
      <c r="A91" s="612" t="s">
        <v>76</v>
      </c>
      <c r="B91" s="612" t="s">
        <v>45</v>
      </c>
      <c r="C91" s="840">
        <v>720</v>
      </c>
      <c r="D91" s="838" t="s">
        <v>9</v>
      </c>
      <c r="E91" s="839">
        <v>332.57658823164718</v>
      </c>
      <c r="F91" s="839">
        <f>E91*C91</f>
        <v>239455.14352678598</v>
      </c>
      <c r="G91" s="865" t="s">
        <v>77</v>
      </c>
    </row>
    <row r="92" spans="1:7">
      <c r="A92" s="612" t="s">
        <v>76</v>
      </c>
      <c r="B92" s="612" t="s">
        <v>47</v>
      </c>
      <c r="C92" s="840">
        <v>120</v>
      </c>
      <c r="D92" s="838" t="s">
        <v>9</v>
      </c>
      <c r="E92" s="839">
        <v>1046.875</v>
      </c>
      <c r="F92" s="839">
        <f>E92*C92</f>
        <v>125625</v>
      </c>
      <c r="G92" s="865" t="s">
        <v>77</v>
      </c>
    </row>
    <row r="93" spans="1:7">
      <c r="A93" s="612" t="s">
        <v>76</v>
      </c>
      <c r="B93" s="612" t="s">
        <v>49</v>
      </c>
      <c r="C93" s="840">
        <v>35</v>
      </c>
      <c r="D93" s="838" t="s">
        <v>9</v>
      </c>
      <c r="E93" s="839">
        <v>6008.9289574156746</v>
      </c>
      <c r="F93" s="839">
        <f>E93*C93</f>
        <v>210312.51350954862</v>
      </c>
      <c r="G93" s="865" t="s">
        <v>77</v>
      </c>
    </row>
    <row r="94" spans="1:7">
      <c r="A94" s="612" t="s">
        <v>76</v>
      </c>
      <c r="B94" s="612" t="s">
        <v>51</v>
      </c>
      <c r="C94" s="840">
        <v>56</v>
      </c>
      <c r="D94" s="838" t="s">
        <v>9</v>
      </c>
      <c r="E94" s="839">
        <v>2615</v>
      </c>
      <c r="F94" s="839">
        <f>E94*C94</f>
        <v>146440</v>
      </c>
      <c r="G94" s="865" t="s">
        <v>77</v>
      </c>
    </row>
    <row r="95" spans="1:7">
      <c r="A95" s="612" t="s">
        <v>76</v>
      </c>
      <c r="B95" s="612" t="s">
        <v>53</v>
      </c>
      <c r="C95" s="840">
        <v>441</v>
      </c>
      <c r="D95" s="838" t="s">
        <v>9</v>
      </c>
      <c r="E95" s="839">
        <v>414.06</v>
      </c>
      <c r="F95" s="839">
        <f>E95*C95</f>
        <v>182600.46</v>
      </c>
      <c r="G95" s="865" t="s">
        <v>77</v>
      </c>
    </row>
    <row r="96" spans="1:7">
      <c r="A96" s="612" t="s">
        <v>76</v>
      </c>
      <c r="B96" s="612" t="s">
        <v>55</v>
      </c>
      <c r="C96" s="840">
        <v>220</v>
      </c>
      <c r="D96" s="838" t="s">
        <v>9</v>
      </c>
      <c r="E96" s="839">
        <v>656.93</v>
      </c>
      <c r="F96" s="839">
        <f>E96*C96</f>
        <v>144524.59999999998</v>
      </c>
      <c r="G96" s="865" t="s">
        <v>77</v>
      </c>
    </row>
    <row r="97" spans="1:7">
      <c r="A97" s="612" t="s">
        <v>80</v>
      </c>
      <c r="B97" s="612" t="s">
        <v>21</v>
      </c>
      <c r="C97" s="840">
        <v>4</v>
      </c>
      <c r="D97" s="838" t="s">
        <v>9</v>
      </c>
      <c r="E97" s="839">
        <v>3465.2650532849784</v>
      </c>
      <c r="F97" s="839">
        <f>E97*C97</f>
        <v>13861.060213139914</v>
      </c>
      <c r="G97" s="865" t="s">
        <v>81</v>
      </c>
    </row>
    <row r="98" spans="1:7">
      <c r="A98" s="612" t="s">
        <v>80</v>
      </c>
      <c r="B98" s="612" t="s">
        <v>23</v>
      </c>
      <c r="C98" s="840">
        <v>2</v>
      </c>
      <c r="D98" s="838" t="s">
        <v>9</v>
      </c>
      <c r="E98" s="839">
        <v>5308.6426927995235</v>
      </c>
      <c r="F98" s="839">
        <f>E98*C98</f>
        <v>10617.285385599047</v>
      </c>
      <c r="G98" s="865" t="s">
        <v>81</v>
      </c>
    </row>
    <row r="99" spans="1:7">
      <c r="A99" s="612" t="s">
        <v>80</v>
      </c>
      <c r="B99" s="612" t="s">
        <v>25</v>
      </c>
      <c r="C99" s="840">
        <v>100</v>
      </c>
      <c r="D99" s="838" t="s">
        <v>9</v>
      </c>
      <c r="E99" s="839">
        <v>2017.6500876823256</v>
      </c>
      <c r="F99" s="839">
        <f>E99*C99</f>
        <v>201765.00876823257</v>
      </c>
      <c r="G99" s="865" t="s">
        <v>81</v>
      </c>
    </row>
    <row r="100" spans="1:7">
      <c r="A100" s="612" t="s">
        <v>80</v>
      </c>
      <c r="B100" s="612" t="s">
        <v>27</v>
      </c>
      <c r="C100" s="840">
        <v>345</v>
      </c>
      <c r="D100" s="838" t="s">
        <v>9</v>
      </c>
      <c r="E100" s="839">
        <v>490.89892940848245</v>
      </c>
      <c r="F100" s="839">
        <f>E100*C100</f>
        <v>169360.13064592643</v>
      </c>
      <c r="G100" s="865" t="s">
        <v>81</v>
      </c>
    </row>
    <row r="101" spans="1:7">
      <c r="A101" s="612" t="s">
        <v>80</v>
      </c>
      <c r="B101" s="612" t="s">
        <v>29</v>
      </c>
      <c r="C101" s="840">
        <v>30</v>
      </c>
      <c r="D101" s="838" t="s">
        <v>9</v>
      </c>
      <c r="E101" s="839">
        <v>4660.6127006696488</v>
      </c>
      <c r="F101" s="839">
        <f>E101*C101</f>
        <v>139818.38102008947</v>
      </c>
      <c r="G101" s="865" t="s">
        <v>81</v>
      </c>
    </row>
    <row r="102" spans="1:7">
      <c r="A102" s="612" t="s">
        <v>80</v>
      </c>
      <c r="B102" s="612" t="s">
        <v>31</v>
      </c>
      <c r="C102" s="840">
        <v>25</v>
      </c>
      <c r="D102" s="838" t="s">
        <v>9</v>
      </c>
      <c r="E102" s="839">
        <v>3314.7199764384945</v>
      </c>
      <c r="F102" s="839">
        <f>E102*C102</f>
        <v>82867.999410962366</v>
      </c>
      <c r="G102" s="865" t="s">
        <v>81</v>
      </c>
    </row>
    <row r="103" spans="1:7">
      <c r="A103" s="612" t="s">
        <v>80</v>
      </c>
      <c r="B103" s="612" t="s">
        <v>33</v>
      </c>
      <c r="C103" s="840">
        <v>80</v>
      </c>
      <c r="D103" s="838" t="s">
        <v>9</v>
      </c>
      <c r="E103" s="839">
        <v>3187.5534161396367</v>
      </c>
      <c r="F103" s="839">
        <f>E103*C103</f>
        <v>255004.27329117095</v>
      </c>
      <c r="G103" s="865" t="s">
        <v>81</v>
      </c>
    </row>
    <row r="104" spans="1:7">
      <c r="A104" s="612" t="s">
        <v>80</v>
      </c>
      <c r="B104" s="612" t="s">
        <v>35</v>
      </c>
      <c r="C104" s="840">
        <v>8</v>
      </c>
      <c r="D104" s="838" t="s">
        <v>9</v>
      </c>
      <c r="E104" s="839">
        <v>1993.3011409578826</v>
      </c>
      <c r="F104" s="839">
        <f>E104*C104</f>
        <v>15946.409127663061</v>
      </c>
      <c r="G104" s="865" t="s">
        <v>81</v>
      </c>
    </row>
    <row r="105" spans="1:7">
      <c r="A105" s="612" t="s">
        <v>80</v>
      </c>
      <c r="B105" s="612" t="s">
        <v>37</v>
      </c>
      <c r="C105" s="840">
        <v>3</v>
      </c>
      <c r="D105" s="838" t="s">
        <v>9</v>
      </c>
      <c r="E105" s="839">
        <v>4318.151927557371</v>
      </c>
      <c r="F105" s="839">
        <f>E105*C105</f>
        <v>12954.455782672114</v>
      </c>
      <c r="G105" s="865" t="s">
        <v>81</v>
      </c>
    </row>
    <row r="106" spans="1:7">
      <c r="A106" s="612" t="s">
        <v>80</v>
      </c>
      <c r="B106" s="612" t="s">
        <v>39</v>
      </c>
      <c r="C106" s="840">
        <v>150</v>
      </c>
      <c r="D106" s="838" t="s">
        <v>9</v>
      </c>
      <c r="E106" s="839">
        <v>603.40089704241223</v>
      </c>
      <c r="F106" s="839">
        <f>E106*C106</f>
        <v>90510.134556361838</v>
      </c>
      <c r="G106" s="865" t="s">
        <v>81</v>
      </c>
    </row>
    <row r="107" spans="1:7">
      <c r="A107" s="612" t="s">
        <v>80</v>
      </c>
      <c r="B107" s="612" t="s">
        <v>83</v>
      </c>
      <c r="C107" s="840">
        <v>50</v>
      </c>
      <c r="D107" s="838" t="s">
        <v>9</v>
      </c>
      <c r="E107" s="839">
        <v>2690.3350823412711</v>
      </c>
      <c r="F107" s="839">
        <f>E107*C107</f>
        <v>134516.75411706357</v>
      </c>
      <c r="G107" s="865" t="s">
        <v>81</v>
      </c>
    </row>
    <row r="108" spans="1:7">
      <c r="A108" s="612" t="s">
        <v>80</v>
      </c>
      <c r="B108" s="612" t="s">
        <v>41</v>
      </c>
      <c r="C108" s="840">
        <v>5</v>
      </c>
      <c r="D108" s="838" t="s">
        <v>9</v>
      </c>
      <c r="E108" s="839">
        <v>5704.1926090764136</v>
      </c>
      <c r="F108" s="839">
        <f>E108*C108</f>
        <v>28520.963045382068</v>
      </c>
      <c r="G108" s="865" t="s">
        <v>81</v>
      </c>
    </row>
    <row r="109" spans="1:7">
      <c r="A109" s="612" t="s">
        <v>80</v>
      </c>
      <c r="B109" s="612" t="s">
        <v>43</v>
      </c>
      <c r="C109" s="840">
        <v>24</v>
      </c>
      <c r="D109" s="838" t="s">
        <v>9</v>
      </c>
      <c r="E109" s="839">
        <v>5845.2857326537705</v>
      </c>
      <c r="F109" s="839">
        <f>E109*C109</f>
        <v>140286.85758369049</v>
      </c>
      <c r="G109" s="865" t="s">
        <v>81</v>
      </c>
    </row>
    <row r="110" spans="1:7">
      <c r="A110" s="612" t="s">
        <v>80</v>
      </c>
      <c r="B110" s="612" t="s">
        <v>45</v>
      </c>
      <c r="C110" s="840">
        <v>720</v>
      </c>
      <c r="D110" s="838" t="s">
        <v>9</v>
      </c>
      <c r="E110" s="839">
        <v>332.57658823164718</v>
      </c>
      <c r="F110" s="839">
        <f>E110*C110</f>
        <v>239455.14352678598</v>
      </c>
      <c r="G110" s="865" t="s">
        <v>81</v>
      </c>
    </row>
    <row r="111" spans="1:7">
      <c r="A111" s="612" t="s">
        <v>80</v>
      </c>
      <c r="B111" s="612" t="s">
        <v>47</v>
      </c>
      <c r="C111" s="840">
        <v>50</v>
      </c>
      <c r="D111" s="838" t="s">
        <v>9</v>
      </c>
      <c r="E111" s="839">
        <v>1046.875</v>
      </c>
      <c r="F111" s="839">
        <f>E111*C111</f>
        <v>52343.75</v>
      </c>
      <c r="G111" s="865" t="s">
        <v>81</v>
      </c>
    </row>
    <row r="112" spans="1:7">
      <c r="A112" s="612" t="s">
        <v>80</v>
      </c>
      <c r="B112" s="612" t="s">
        <v>51</v>
      </c>
      <c r="C112" s="840">
        <v>3</v>
      </c>
      <c r="D112" s="838" t="s">
        <v>9</v>
      </c>
      <c r="E112" s="839">
        <v>2615</v>
      </c>
      <c r="F112" s="839">
        <f>E112*C112</f>
        <v>7845</v>
      </c>
      <c r="G112" s="865" t="s">
        <v>81</v>
      </c>
    </row>
    <row r="113" spans="1:7">
      <c r="A113" s="612" t="s">
        <v>80</v>
      </c>
      <c r="B113" s="612" t="s">
        <v>53</v>
      </c>
      <c r="C113" s="840">
        <v>22</v>
      </c>
      <c r="D113" s="838" t="s">
        <v>9</v>
      </c>
      <c r="E113" s="839">
        <v>414.06</v>
      </c>
      <c r="F113" s="839">
        <f>E113*C113</f>
        <v>9109.32</v>
      </c>
      <c r="G113" s="865" t="s">
        <v>81</v>
      </c>
    </row>
    <row r="114" spans="1:7">
      <c r="A114" s="612" t="s">
        <v>84</v>
      </c>
      <c r="B114" s="612" t="s">
        <v>8</v>
      </c>
      <c r="C114" s="840">
        <v>97</v>
      </c>
      <c r="D114" s="838" t="s">
        <v>9</v>
      </c>
      <c r="E114" s="839">
        <v>17628.016110227749</v>
      </c>
      <c r="F114" s="839">
        <f>E114*C114</f>
        <v>1709917.5626920916</v>
      </c>
      <c r="G114" s="865" t="s">
        <v>85</v>
      </c>
    </row>
    <row r="115" spans="1:7">
      <c r="A115" s="612" t="s">
        <v>84</v>
      </c>
      <c r="B115" s="612" t="s">
        <v>12</v>
      </c>
      <c r="C115" s="840">
        <v>1</v>
      </c>
      <c r="D115" s="838" t="s">
        <v>13</v>
      </c>
      <c r="E115" s="839">
        <v>1410241.2888182241</v>
      </c>
      <c r="F115" s="839">
        <f>E115*C115</f>
        <v>1410241.2888182241</v>
      </c>
      <c r="G115" s="865" t="s">
        <v>85</v>
      </c>
    </row>
    <row r="116" spans="1:7">
      <c r="A116" s="612" t="s">
        <v>84</v>
      </c>
      <c r="B116" s="612" t="s">
        <v>15</v>
      </c>
      <c r="C116" s="840">
        <v>120</v>
      </c>
      <c r="D116" s="838" t="s">
        <v>9</v>
      </c>
      <c r="E116" s="839">
        <v>9704.5206795968697</v>
      </c>
      <c r="F116" s="839">
        <f>E116*C116</f>
        <v>1164542.4815516244</v>
      </c>
      <c r="G116" s="865" t="s">
        <v>85</v>
      </c>
    </row>
    <row r="117" spans="1:7">
      <c r="A117" s="612" t="s">
        <v>84</v>
      </c>
      <c r="B117" s="861" t="s">
        <v>17</v>
      </c>
      <c r="C117" s="840">
        <v>1</v>
      </c>
      <c r="D117" s="838" t="s">
        <v>13</v>
      </c>
      <c r="E117" s="839">
        <v>308927.24163383368</v>
      </c>
      <c r="F117" s="839">
        <f>E117*C117</f>
        <v>308927.24163383368</v>
      </c>
      <c r="G117" s="865" t="s">
        <v>85</v>
      </c>
    </row>
    <row r="118" spans="1:7">
      <c r="A118" s="612" t="s">
        <v>84</v>
      </c>
      <c r="B118" s="612" t="s">
        <v>59</v>
      </c>
      <c r="C118" s="840">
        <v>25</v>
      </c>
      <c r="D118" s="838" t="s">
        <v>9</v>
      </c>
      <c r="E118" s="839">
        <v>18533.443254894697</v>
      </c>
      <c r="F118" s="839">
        <f>E118*C118</f>
        <v>463336.08137236745</v>
      </c>
      <c r="G118" s="865" t="s">
        <v>85</v>
      </c>
    </row>
    <row r="119" spans="1:7">
      <c r="A119" s="612" t="s">
        <v>84</v>
      </c>
      <c r="B119" s="612" t="s">
        <v>79</v>
      </c>
      <c r="C119" s="840">
        <v>50</v>
      </c>
      <c r="D119" s="838" t="s">
        <v>9</v>
      </c>
      <c r="E119" s="839">
        <v>21257.799804454229</v>
      </c>
      <c r="F119" s="839">
        <f>E119*C119</f>
        <v>1062889.9902227113</v>
      </c>
      <c r="G119" s="865" t="s">
        <v>85</v>
      </c>
    </row>
    <row r="120" spans="1:7">
      <c r="A120" s="612" t="s">
        <v>84</v>
      </c>
      <c r="B120" s="612" t="s">
        <v>19</v>
      </c>
      <c r="C120" s="840">
        <v>220</v>
      </c>
      <c r="D120" s="838" t="s">
        <v>9</v>
      </c>
      <c r="E120" s="839">
        <v>770.34433955233214</v>
      </c>
      <c r="F120" s="839">
        <f>E120*C120</f>
        <v>169475.75470151307</v>
      </c>
      <c r="G120" s="865" t="s">
        <v>85</v>
      </c>
    </row>
    <row r="121" spans="1:7">
      <c r="A121" s="612" t="s">
        <v>84</v>
      </c>
      <c r="B121" s="612" t="s">
        <v>21</v>
      </c>
      <c r="C121" s="840">
        <v>12</v>
      </c>
      <c r="D121" s="838" t="s">
        <v>9</v>
      </c>
      <c r="E121" s="839">
        <v>3465.2650532849784</v>
      </c>
      <c r="F121" s="839">
        <f>E121*C121</f>
        <v>41583.180639419741</v>
      </c>
      <c r="G121" s="865" t="s">
        <v>85</v>
      </c>
    </row>
    <row r="122" spans="1:7">
      <c r="A122" s="612" t="s">
        <v>84</v>
      </c>
      <c r="B122" s="612" t="s">
        <v>23</v>
      </c>
      <c r="C122" s="840">
        <v>10</v>
      </c>
      <c r="D122" s="838" t="s">
        <v>9</v>
      </c>
      <c r="E122" s="839">
        <v>5308.6426927995235</v>
      </c>
      <c r="F122" s="839">
        <f>E122*C122</f>
        <v>53086.426927995235</v>
      </c>
      <c r="G122" s="865" t="s">
        <v>85</v>
      </c>
    </row>
    <row r="123" spans="1:7">
      <c r="A123" s="612" t="s">
        <v>84</v>
      </c>
      <c r="B123" s="612" t="s">
        <v>29</v>
      </c>
      <c r="C123" s="840">
        <v>120</v>
      </c>
      <c r="D123" s="838" t="s">
        <v>9</v>
      </c>
      <c r="E123" s="839">
        <v>4660.6127006696488</v>
      </c>
      <c r="F123" s="839">
        <f>E123*C123</f>
        <v>559273.52408035786</v>
      </c>
      <c r="G123" s="865" t="s">
        <v>85</v>
      </c>
    </row>
    <row r="124" spans="1:7">
      <c r="A124" s="612" t="s">
        <v>84</v>
      </c>
      <c r="B124" s="612" t="s">
        <v>31</v>
      </c>
      <c r="C124" s="840">
        <v>95</v>
      </c>
      <c r="D124" s="838" t="s">
        <v>9</v>
      </c>
      <c r="E124" s="839">
        <v>3314.7199764384945</v>
      </c>
      <c r="F124" s="839">
        <f>E124*C124</f>
        <v>314898.39776165696</v>
      </c>
      <c r="G124" s="865" t="s">
        <v>85</v>
      </c>
    </row>
    <row r="125" spans="1:7">
      <c r="A125" s="612" t="s">
        <v>84</v>
      </c>
      <c r="B125" s="612" t="s">
        <v>35</v>
      </c>
      <c r="C125" s="842">
        <v>39</v>
      </c>
      <c r="D125" s="838" t="s">
        <v>9</v>
      </c>
      <c r="E125" s="839">
        <v>1993.3011409578826</v>
      </c>
      <c r="F125" s="839">
        <f>E125*C125</f>
        <v>77738.744497357417</v>
      </c>
      <c r="G125" s="865" t="s">
        <v>85</v>
      </c>
    </row>
    <row r="126" spans="1:7">
      <c r="A126" s="612" t="s">
        <v>84</v>
      </c>
      <c r="B126" s="612" t="s">
        <v>63</v>
      </c>
      <c r="C126" s="840">
        <v>2</v>
      </c>
      <c r="D126" s="838" t="s">
        <v>64</v>
      </c>
      <c r="E126" s="839">
        <v>80668</v>
      </c>
      <c r="F126" s="839">
        <f>E126*C126</f>
        <v>161336</v>
      </c>
      <c r="G126" s="865" t="s">
        <v>85</v>
      </c>
    </row>
    <row r="127" spans="1:7">
      <c r="A127" s="612" t="s">
        <v>84</v>
      </c>
      <c r="B127" s="612" t="s">
        <v>37</v>
      </c>
      <c r="C127" s="840">
        <v>10</v>
      </c>
      <c r="D127" s="838" t="s">
        <v>9</v>
      </c>
      <c r="E127" s="839">
        <v>4318.151927557371</v>
      </c>
      <c r="F127" s="839">
        <f>E127*C127</f>
        <v>43181.519275573708</v>
      </c>
      <c r="G127" s="865" t="s">
        <v>85</v>
      </c>
    </row>
    <row r="128" spans="1:7">
      <c r="A128" s="612" t="s">
        <v>84</v>
      </c>
      <c r="B128" s="612" t="s">
        <v>39</v>
      </c>
      <c r="C128" s="840">
        <v>250</v>
      </c>
      <c r="D128" s="838" t="s">
        <v>9</v>
      </c>
      <c r="E128" s="839">
        <v>603.40089704241223</v>
      </c>
      <c r="F128" s="839">
        <f>E128*C128</f>
        <v>150850.22426060305</v>
      </c>
      <c r="G128" s="865" t="s">
        <v>85</v>
      </c>
    </row>
    <row r="129" spans="1:7">
      <c r="A129" s="612" t="s">
        <v>84</v>
      </c>
      <c r="B129" s="612" t="s">
        <v>75</v>
      </c>
      <c r="C129" s="840">
        <v>1</v>
      </c>
      <c r="D129" s="838" t="s">
        <v>13</v>
      </c>
      <c r="E129" s="839">
        <v>1436802.9234951097</v>
      </c>
      <c r="F129" s="839">
        <f>E129*C129</f>
        <v>1436802.9234951097</v>
      </c>
      <c r="G129" s="865" t="s">
        <v>85</v>
      </c>
    </row>
    <row r="130" spans="1:7" ht="14.25" customHeight="1">
      <c r="A130" s="612" t="s">
        <v>84</v>
      </c>
      <c r="B130" s="612" t="s">
        <v>47</v>
      </c>
      <c r="C130" s="840">
        <v>120</v>
      </c>
      <c r="D130" s="838" t="s">
        <v>9</v>
      </c>
      <c r="E130" s="839">
        <v>1046.875</v>
      </c>
      <c r="F130" s="839">
        <f>E130*C130</f>
        <v>125625</v>
      </c>
      <c r="G130" s="865" t="s">
        <v>85</v>
      </c>
    </row>
    <row r="131" spans="1:7" ht="14.25" customHeight="1">
      <c r="A131" s="612" t="s">
        <v>84</v>
      </c>
      <c r="B131" s="612" t="s">
        <v>49</v>
      </c>
      <c r="C131" s="840">
        <v>35</v>
      </c>
      <c r="D131" s="838" t="s">
        <v>9</v>
      </c>
      <c r="E131" s="839">
        <v>6008.9289574156746</v>
      </c>
      <c r="F131" s="839">
        <f>E131*C131</f>
        <v>210312.51350954862</v>
      </c>
      <c r="G131" s="865" t="s">
        <v>85</v>
      </c>
    </row>
    <row r="132" spans="1:7">
      <c r="A132" s="612" t="s">
        <v>84</v>
      </c>
      <c r="B132" s="612" t="s">
        <v>51</v>
      </c>
      <c r="C132" s="840">
        <v>15</v>
      </c>
      <c r="D132" s="838" t="s">
        <v>9</v>
      </c>
      <c r="E132" s="839">
        <v>2615</v>
      </c>
      <c r="F132" s="839">
        <f>E132*C132</f>
        <v>39225</v>
      </c>
      <c r="G132" s="865" t="s">
        <v>85</v>
      </c>
    </row>
    <row r="133" spans="1:7">
      <c r="A133" s="612" t="s">
        <v>84</v>
      </c>
      <c r="B133" s="612" t="s">
        <v>53</v>
      </c>
      <c r="C133" s="840">
        <v>105</v>
      </c>
      <c r="D133" s="838" t="s">
        <v>9</v>
      </c>
      <c r="E133" s="839">
        <v>414.06</v>
      </c>
      <c r="F133" s="839">
        <f>E133*C133</f>
        <v>43476.3</v>
      </c>
      <c r="G133" s="865" t="s">
        <v>85</v>
      </c>
    </row>
    <row r="134" spans="1:7">
      <c r="A134" s="612" t="s">
        <v>84</v>
      </c>
      <c r="B134" s="612" t="s">
        <v>55</v>
      </c>
      <c r="C134" s="840">
        <v>220</v>
      </c>
      <c r="D134" s="838" t="s">
        <v>9</v>
      </c>
      <c r="E134" s="839">
        <v>656.93</v>
      </c>
      <c r="F134" s="839">
        <f>E134*C134</f>
        <v>144524.59999999998</v>
      </c>
      <c r="G134" s="865" t="s">
        <v>85</v>
      </c>
    </row>
    <row r="135" spans="1:7">
      <c r="A135" s="612" t="s">
        <v>86</v>
      </c>
      <c r="B135" s="612" t="s">
        <v>8</v>
      </c>
      <c r="C135" s="840">
        <v>39.199999999999996</v>
      </c>
      <c r="D135" s="838" t="s">
        <v>9</v>
      </c>
      <c r="E135" s="839">
        <v>17628.016110227749</v>
      </c>
      <c r="F135" s="839">
        <f>E135*C135</f>
        <v>691018.23152092763</v>
      </c>
      <c r="G135" s="865" t="s">
        <v>87</v>
      </c>
    </row>
    <row r="136" spans="1:7">
      <c r="A136" s="612" t="s">
        <v>86</v>
      </c>
      <c r="B136" s="612" t="s">
        <v>12</v>
      </c>
      <c r="C136" s="840">
        <v>1</v>
      </c>
      <c r="D136" s="838" t="s">
        <v>13</v>
      </c>
      <c r="E136" s="839">
        <v>937222.85652711138</v>
      </c>
      <c r="F136" s="839">
        <f>E136*C136</f>
        <v>937222.85652711138</v>
      </c>
      <c r="G136" s="865" t="s">
        <v>87</v>
      </c>
    </row>
    <row r="137" spans="1:7">
      <c r="A137" s="612" t="s">
        <v>86</v>
      </c>
      <c r="B137" s="612" t="s">
        <v>15</v>
      </c>
      <c r="C137" s="840">
        <v>112</v>
      </c>
      <c r="D137" s="838" t="s">
        <v>9</v>
      </c>
      <c r="E137" s="839">
        <v>9704.5206795968697</v>
      </c>
      <c r="F137" s="839">
        <f>E137*C137</f>
        <v>1086906.3161148494</v>
      </c>
      <c r="G137" s="865" t="s">
        <v>87</v>
      </c>
    </row>
    <row r="138" spans="1:7">
      <c r="A138" s="612" t="s">
        <v>86</v>
      </c>
      <c r="B138" s="861" t="s">
        <v>17</v>
      </c>
      <c r="C138" s="840">
        <v>1</v>
      </c>
      <c r="D138" s="838" t="s">
        <v>13</v>
      </c>
      <c r="E138" s="839">
        <v>671229.34700545017</v>
      </c>
      <c r="F138" s="839">
        <f>E138*C138</f>
        <v>671229.34700545017</v>
      </c>
      <c r="G138" s="865" t="s">
        <v>87</v>
      </c>
    </row>
    <row r="139" spans="1:7">
      <c r="A139" s="612" t="s">
        <v>86</v>
      </c>
      <c r="B139" s="612" t="s">
        <v>19</v>
      </c>
      <c r="C139" s="840">
        <v>120</v>
      </c>
      <c r="D139" s="838" t="s">
        <v>9</v>
      </c>
      <c r="E139" s="839">
        <v>770.34433955233214</v>
      </c>
      <c r="F139" s="839">
        <f>E139*C139</f>
        <v>92441.32074627986</v>
      </c>
      <c r="G139" s="865" t="s">
        <v>87</v>
      </c>
    </row>
    <row r="140" spans="1:7">
      <c r="A140" s="612" t="s">
        <v>86</v>
      </c>
      <c r="B140" s="612" t="s">
        <v>25</v>
      </c>
      <c r="C140" s="840">
        <v>50</v>
      </c>
      <c r="D140" s="838" t="s">
        <v>9</v>
      </c>
      <c r="E140" s="839">
        <v>2017.6500876823256</v>
      </c>
      <c r="F140" s="839">
        <f>E140*C140</f>
        <v>100882.50438411628</v>
      </c>
      <c r="G140" s="865" t="s">
        <v>87</v>
      </c>
    </row>
    <row r="141" spans="1:7">
      <c r="A141" s="612" t="s">
        <v>86</v>
      </c>
      <c r="B141" s="612" t="s">
        <v>29</v>
      </c>
      <c r="C141" s="840">
        <v>20</v>
      </c>
      <c r="D141" s="838" t="s">
        <v>9</v>
      </c>
      <c r="E141" s="839">
        <v>4660.6127006696488</v>
      </c>
      <c r="F141" s="839">
        <f>E141*C141</f>
        <v>93212.254013392972</v>
      </c>
      <c r="G141" s="865" t="s">
        <v>87</v>
      </c>
    </row>
    <row r="142" spans="1:7">
      <c r="A142" s="612" t="s">
        <v>86</v>
      </c>
      <c r="B142" s="612" t="s">
        <v>31</v>
      </c>
      <c r="C142" s="840">
        <v>20</v>
      </c>
      <c r="D142" s="838" t="s">
        <v>9</v>
      </c>
      <c r="E142" s="839">
        <v>3314.7199764384945</v>
      </c>
      <c r="F142" s="839">
        <f>E142*C142</f>
        <v>66294.399528769893</v>
      </c>
      <c r="G142" s="865" t="s">
        <v>87</v>
      </c>
    </row>
    <row r="143" spans="1:7">
      <c r="A143" s="612" t="s">
        <v>86</v>
      </c>
      <c r="B143" s="612" t="s">
        <v>33</v>
      </c>
      <c r="C143" s="840">
        <v>120</v>
      </c>
      <c r="D143" s="838" t="s">
        <v>9</v>
      </c>
      <c r="E143" s="839">
        <v>3187.5534161396367</v>
      </c>
      <c r="F143" s="839">
        <f>E143*C143</f>
        <v>382506.40993675642</v>
      </c>
      <c r="G143" s="865" t="s">
        <v>87</v>
      </c>
    </row>
    <row r="144" spans="1:7">
      <c r="A144" s="612" t="s">
        <v>86</v>
      </c>
      <c r="B144" s="612" t="s">
        <v>39</v>
      </c>
      <c r="C144" s="840">
        <v>150</v>
      </c>
      <c r="D144" s="838" t="s">
        <v>9</v>
      </c>
      <c r="E144" s="839">
        <v>603.40089704241223</v>
      </c>
      <c r="F144" s="839">
        <f>E144*C144</f>
        <v>90510.134556361838</v>
      </c>
      <c r="G144" s="865" t="s">
        <v>87</v>
      </c>
    </row>
    <row r="145" spans="1:7">
      <c r="A145" s="612" t="s">
        <v>86</v>
      </c>
      <c r="B145" s="612" t="s">
        <v>83</v>
      </c>
      <c r="C145" s="840">
        <v>125</v>
      </c>
      <c r="D145" s="838" t="s">
        <v>9</v>
      </c>
      <c r="E145" s="839">
        <v>2690.3350823412711</v>
      </c>
      <c r="F145" s="839">
        <f>E145*C145</f>
        <v>336291.88529265887</v>
      </c>
      <c r="G145" s="865" t="s">
        <v>87</v>
      </c>
    </row>
    <row r="146" spans="1:7">
      <c r="A146" s="612" t="s">
        <v>86</v>
      </c>
      <c r="B146" s="612" t="s">
        <v>43</v>
      </c>
      <c r="C146" s="840">
        <v>24</v>
      </c>
      <c r="D146" s="838" t="s">
        <v>9</v>
      </c>
      <c r="E146" s="839">
        <v>5845.2857326537705</v>
      </c>
      <c r="F146" s="839">
        <f>E146*C146</f>
        <v>140286.85758369049</v>
      </c>
      <c r="G146" s="865" t="s">
        <v>87</v>
      </c>
    </row>
    <row r="147" spans="1:7">
      <c r="A147" s="612" t="s">
        <v>86</v>
      </c>
      <c r="B147" s="612" t="s">
        <v>45</v>
      </c>
      <c r="C147" s="840">
        <v>720</v>
      </c>
      <c r="D147" s="838" t="s">
        <v>9</v>
      </c>
      <c r="E147" s="839">
        <v>332.57658823164718</v>
      </c>
      <c r="F147" s="839">
        <f>E147*C147</f>
        <v>239455.14352678598</v>
      </c>
      <c r="G147" s="865" t="s">
        <v>87</v>
      </c>
    </row>
    <row r="148" spans="1:7">
      <c r="A148" s="612" t="s">
        <v>86</v>
      </c>
      <c r="B148" s="612" t="s">
        <v>47</v>
      </c>
      <c r="C148" s="840">
        <v>50</v>
      </c>
      <c r="D148" s="838" t="s">
        <v>9</v>
      </c>
      <c r="E148" s="839">
        <v>1046.875</v>
      </c>
      <c r="F148" s="839">
        <f>E148*C148</f>
        <v>52343.75</v>
      </c>
      <c r="G148" s="865" t="s">
        <v>87</v>
      </c>
    </row>
    <row r="149" spans="1:7">
      <c r="A149" s="612" t="s">
        <v>86</v>
      </c>
      <c r="B149" s="612" t="s">
        <v>49</v>
      </c>
      <c r="C149" s="840">
        <v>35</v>
      </c>
      <c r="D149" s="838" t="s">
        <v>9</v>
      </c>
      <c r="E149" s="839">
        <v>6008.9289574156746</v>
      </c>
      <c r="F149" s="839">
        <f>E149*C149</f>
        <v>210312.51350954862</v>
      </c>
      <c r="G149" s="865" t="s">
        <v>87</v>
      </c>
    </row>
    <row r="150" spans="1:7">
      <c r="A150" s="612" t="s">
        <v>86</v>
      </c>
      <c r="B150" s="612" t="s">
        <v>55</v>
      </c>
      <c r="C150" s="840">
        <v>120</v>
      </c>
      <c r="D150" s="838" t="s">
        <v>9</v>
      </c>
      <c r="E150" s="839">
        <v>656.93</v>
      </c>
      <c r="F150" s="839">
        <f>E150*C150</f>
        <v>78831.599999999991</v>
      </c>
      <c r="G150" s="865" t="s">
        <v>87</v>
      </c>
    </row>
    <row r="151" spans="1:7">
      <c r="A151" s="612" t="s">
        <v>88</v>
      </c>
      <c r="B151" s="612" t="s">
        <v>8</v>
      </c>
      <c r="C151" s="840">
        <v>77.699999999999989</v>
      </c>
      <c r="D151" s="838" t="s">
        <v>9</v>
      </c>
      <c r="E151" s="839">
        <v>17628.016110227749</v>
      </c>
      <c r="F151" s="839">
        <f>E151*C151</f>
        <v>1369696.851764696</v>
      </c>
      <c r="G151" s="865" t="s">
        <v>89</v>
      </c>
    </row>
    <row r="152" spans="1:7">
      <c r="A152" s="612" t="s">
        <v>88</v>
      </c>
      <c r="B152" s="612" t="s">
        <v>12</v>
      </c>
      <c r="C152" s="840">
        <v>1</v>
      </c>
      <c r="D152" s="838" t="s">
        <v>13</v>
      </c>
      <c r="E152" s="839">
        <v>1338260.223034794</v>
      </c>
      <c r="F152" s="839">
        <f>E152*C152</f>
        <v>1338260.223034794</v>
      </c>
      <c r="G152" s="865" t="s">
        <v>89</v>
      </c>
    </row>
    <row r="153" spans="1:7">
      <c r="A153" s="612" t="s">
        <v>88</v>
      </c>
      <c r="B153" s="612" t="s">
        <v>15</v>
      </c>
      <c r="C153" s="840">
        <v>81</v>
      </c>
      <c r="D153" s="838" t="s">
        <v>9</v>
      </c>
      <c r="E153" s="839">
        <v>9704.5206795968697</v>
      </c>
      <c r="F153" s="839">
        <f>E153*C153</f>
        <v>786066.17504734639</v>
      </c>
      <c r="G153" s="865" t="s">
        <v>89</v>
      </c>
    </row>
    <row r="154" spans="1:7">
      <c r="A154" s="612" t="s">
        <v>88</v>
      </c>
      <c r="B154" s="861" t="s">
        <v>17</v>
      </c>
      <c r="C154" s="840">
        <v>1</v>
      </c>
      <c r="D154" s="838" t="s">
        <v>13</v>
      </c>
      <c r="E154" s="839">
        <v>1082054.055775051</v>
      </c>
      <c r="F154" s="839">
        <f>E154*C154</f>
        <v>1082054.055775051</v>
      </c>
      <c r="G154" s="865" t="s">
        <v>89</v>
      </c>
    </row>
    <row r="155" spans="1:7">
      <c r="A155" s="612" t="s">
        <v>88</v>
      </c>
      <c r="B155" s="612" t="s">
        <v>19</v>
      </c>
      <c r="C155" s="840">
        <v>150</v>
      </c>
      <c r="D155" s="838" t="s">
        <v>9</v>
      </c>
      <c r="E155" s="839">
        <v>770.34433955233214</v>
      </c>
      <c r="F155" s="839">
        <f>E155*C155</f>
        <v>115551.65093284982</v>
      </c>
      <c r="G155" s="865" t="s">
        <v>89</v>
      </c>
    </row>
    <row r="156" spans="1:7">
      <c r="A156" s="612" t="s">
        <v>88</v>
      </c>
      <c r="B156" s="612" t="s">
        <v>21</v>
      </c>
      <c r="C156" s="840">
        <v>18</v>
      </c>
      <c r="D156" s="838" t="s">
        <v>9</v>
      </c>
      <c r="E156" s="839">
        <v>3465.2650532849784</v>
      </c>
      <c r="F156" s="839">
        <f>E156*C156</f>
        <v>62374.770959129615</v>
      </c>
      <c r="G156" s="865" t="s">
        <v>89</v>
      </c>
    </row>
    <row r="157" spans="1:7">
      <c r="A157" s="612" t="s">
        <v>88</v>
      </c>
      <c r="B157" s="612" t="s">
        <v>23</v>
      </c>
      <c r="C157" s="840">
        <v>18</v>
      </c>
      <c r="D157" s="838" t="s">
        <v>9</v>
      </c>
      <c r="E157" s="839">
        <v>5308.6426927995235</v>
      </c>
      <c r="F157" s="839">
        <f>E157*C157</f>
        <v>95555.568470391416</v>
      </c>
      <c r="G157" s="865" t="s">
        <v>89</v>
      </c>
    </row>
    <row r="158" spans="1:7">
      <c r="A158" s="612" t="s">
        <v>88</v>
      </c>
      <c r="B158" s="612" t="s">
        <v>29</v>
      </c>
      <c r="C158" s="840">
        <v>130</v>
      </c>
      <c r="D158" s="838" t="s">
        <v>9</v>
      </c>
      <c r="E158" s="839">
        <v>4660.6127006696488</v>
      </c>
      <c r="F158" s="839">
        <f>E158*C158</f>
        <v>605879.6510870544</v>
      </c>
      <c r="G158" s="865" t="s">
        <v>89</v>
      </c>
    </row>
    <row r="159" spans="1:7">
      <c r="A159" s="612" t="s">
        <v>88</v>
      </c>
      <c r="B159" s="612" t="s">
        <v>31</v>
      </c>
      <c r="C159" s="840">
        <v>95</v>
      </c>
      <c r="D159" s="838" t="s">
        <v>9</v>
      </c>
      <c r="E159" s="839">
        <v>3314.7199764384945</v>
      </c>
      <c r="F159" s="839">
        <f>E159*C159</f>
        <v>314898.39776165696</v>
      </c>
      <c r="G159" s="865" t="s">
        <v>89</v>
      </c>
    </row>
    <row r="160" spans="1:7">
      <c r="A160" s="612" t="s">
        <v>88</v>
      </c>
      <c r="B160" s="612" t="s">
        <v>35</v>
      </c>
      <c r="C160" s="842">
        <v>86</v>
      </c>
      <c r="D160" s="838" t="s">
        <v>9</v>
      </c>
      <c r="E160" s="839">
        <v>1993.3011409578826</v>
      </c>
      <c r="F160" s="839">
        <f>E160*C160</f>
        <v>171423.8981223779</v>
      </c>
      <c r="G160" s="865" t="s">
        <v>89</v>
      </c>
    </row>
    <row r="161" spans="1:7">
      <c r="A161" s="612" t="s">
        <v>88</v>
      </c>
      <c r="B161" s="612" t="s">
        <v>63</v>
      </c>
      <c r="C161" s="840">
        <v>3</v>
      </c>
      <c r="D161" s="838" t="s">
        <v>64</v>
      </c>
      <c r="E161" s="839">
        <v>80668</v>
      </c>
      <c r="F161" s="839">
        <f>E161*C161</f>
        <v>242004</v>
      </c>
      <c r="G161" s="865" t="s">
        <v>89</v>
      </c>
    </row>
    <row r="162" spans="1:7">
      <c r="A162" s="612" t="s">
        <v>88</v>
      </c>
      <c r="B162" s="612" t="s">
        <v>37</v>
      </c>
      <c r="C162" s="840">
        <v>23</v>
      </c>
      <c r="D162" s="838" t="s">
        <v>9</v>
      </c>
      <c r="E162" s="839">
        <v>4318.151927557371</v>
      </c>
      <c r="F162" s="839">
        <f>E162*C162</f>
        <v>99317.49433381953</v>
      </c>
      <c r="G162" s="865" t="s">
        <v>89</v>
      </c>
    </row>
    <row r="163" spans="1:7">
      <c r="A163" s="612" t="s">
        <v>88</v>
      </c>
      <c r="B163" s="612" t="s">
        <v>39</v>
      </c>
      <c r="C163" s="840">
        <v>220</v>
      </c>
      <c r="D163" s="838" t="s">
        <v>9</v>
      </c>
      <c r="E163" s="839">
        <v>603.40089704241223</v>
      </c>
      <c r="F163" s="839">
        <f>E163*C163</f>
        <v>132748.1973493307</v>
      </c>
      <c r="G163" s="865" t="s">
        <v>89</v>
      </c>
    </row>
    <row r="164" spans="1:7">
      <c r="A164" s="612" t="s">
        <v>88</v>
      </c>
      <c r="B164" s="612" t="s">
        <v>41</v>
      </c>
      <c r="C164" s="840">
        <v>12</v>
      </c>
      <c r="D164" s="838" t="s">
        <v>9</v>
      </c>
      <c r="E164" s="839">
        <v>5704.1926090764136</v>
      </c>
      <c r="F164" s="839">
        <f>E164*C164</f>
        <v>68450.311308916964</v>
      </c>
      <c r="G164" s="865" t="s">
        <v>89</v>
      </c>
    </row>
    <row r="165" spans="1:7">
      <c r="A165" s="612" t="s">
        <v>88</v>
      </c>
      <c r="B165" s="612" t="s">
        <v>47</v>
      </c>
      <c r="C165" s="840">
        <v>100</v>
      </c>
      <c r="D165" s="838" t="s">
        <v>9</v>
      </c>
      <c r="E165" s="839">
        <v>1046.875</v>
      </c>
      <c r="F165" s="839">
        <f>E165*C165</f>
        <v>104687.5</v>
      </c>
      <c r="G165" s="865" t="s">
        <v>89</v>
      </c>
    </row>
    <row r="166" spans="1:7">
      <c r="A166" s="612" t="s">
        <v>88</v>
      </c>
      <c r="B166" s="612" t="s">
        <v>49</v>
      </c>
      <c r="C166" s="840">
        <v>35</v>
      </c>
      <c r="D166" s="838" t="s">
        <v>9</v>
      </c>
      <c r="E166" s="839">
        <v>6008.9289574156746</v>
      </c>
      <c r="F166" s="839">
        <f>E166*C166</f>
        <v>210312.51350954862</v>
      </c>
      <c r="G166" s="865" t="s">
        <v>89</v>
      </c>
    </row>
    <row r="167" spans="1:7">
      <c r="A167" s="612" t="s">
        <v>88</v>
      </c>
      <c r="B167" s="612" t="s">
        <v>51</v>
      </c>
      <c r="C167" s="840">
        <v>30</v>
      </c>
      <c r="D167" s="838" t="s">
        <v>9</v>
      </c>
      <c r="E167" s="839">
        <v>2615</v>
      </c>
      <c r="F167" s="839">
        <f>E167*C167</f>
        <v>78450</v>
      </c>
      <c r="G167" s="865" t="s">
        <v>89</v>
      </c>
    </row>
    <row r="168" spans="1:7">
      <c r="A168" s="612" t="s">
        <v>88</v>
      </c>
      <c r="B168" s="612" t="s">
        <v>53</v>
      </c>
      <c r="C168" s="840">
        <v>235</v>
      </c>
      <c r="D168" s="838" t="s">
        <v>9</v>
      </c>
      <c r="E168" s="839">
        <v>414.06</v>
      </c>
      <c r="F168" s="839">
        <f>E168*C168</f>
        <v>97304.1</v>
      </c>
      <c r="G168" s="865" t="s">
        <v>89</v>
      </c>
    </row>
    <row r="169" spans="1:7">
      <c r="A169" s="612" t="s">
        <v>88</v>
      </c>
      <c r="B169" s="612" t="s">
        <v>55</v>
      </c>
      <c r="C169" s="840">
        <v>150</v>
      </c>
      <c r="D169" s="838" t="s">
        <v>9</v>
      </c>
      <c r="E169" s="839">
        <v>656.93</v>
      </c>
      <c r="F169" s="839">
        <f>E169*C169</f>
        <v>98539.499999999985</v>
      </c>
      <c r="G169" s="865" t="s">
        <v>89</v>
      </c>
    </row>
    <row r="170" spans="1:7" ht="57.6">
      <c r="A170" s="612" t="s">
        <v>90</v>
      </c>
      <c r="B170" s="612" t="s">
        <v>75</v>
      </c>
      <c r="C170" s="840">
        <v>1</v>
      </c>
      <c r="D170" s="838" t="s">
        <v>13</v>
      </c>
      <c r="E170" s="839">
        <v>1436802.9234951097</v>
      </c>
      <c r="F170" s="839">
        <f>E170*C170</f>
        <v>1436802.9234951097</v>
      </c>
      <c r="G170" s="867" t="s">
        <v>92</v>
      </c>
    </row>
    <row r="171" spans="1:7" ht="28.8">
      <c r="A171" s="861" t="s">
        <v>93</v>
      </c>
      <c r="B171" s="612" t="s">
        <v>8</v>
      </c>
      <c r="C171" s="840">
        <v>28</v>
      </c>
      <c r="D171" s="838" t="s">
        <v>9</v>
      </c>
      <c r="E171" s="839">
        <v>17628.016110227749</v>
      </c>
      <c r="F171" s="839">
        <f>E171*C171</f>
        <v>493584.45108637697</v>
      </c>
      <c r="G171" s="866" t="s">
        <v>95</v>
      </c>
    </row>
    <row r="172" spans="1:7" ht="28.8">
      <c r="A172" s="612" t="s">
        <v>93</v>
      </c>
      <c r="B172" s="612" t="s">
        <v>12</v>
      </c>
      <c r="C172" s="840">
        <v>1</v>
      </c>
      <c r="D172" s="838" t="s">
        <v>13</v>
      </c>
      <c r="E172" s="839">
        <v>377533.34502737876</v>
      </c>
      <c r="F172" s="839">
        <f>E172*C172</f>
        <v>377533.34502737876</v>
      </c>
      <c r="G172" s="866" t="s">
        <v>95</v>
      </c>
    </row>
    <row r="173" spans="1:7" ht="28.8">
      <c r="A173" s="612" t="s">
        <v>93</v>
      </c>
      <c r="B173" s="612" t="s">
        <v>15</v>
      </c>
      <c r="C173" s="840">
        <v>62</v>
      </c>
      <c r="D173" s="838" t="s">
        <v>9</v>
      </c>
      <c r="E173" s="839">
        <v>9704.5206795968697</v>
      </c>
      <c r="F173" s="839">
        <f>E173*C173</f>
        <v>601680.28213500592</v>
      </c>
      <c r="G173" s="866" t="s">
        <v>95</v>
      </c>
    </row>
    <row r="174" spans="1:7" ht="28.8">
      <c r="A174" s="612" t="s">
        <v>93</v>
      </c>
      <c r="B174" s="861" t="s">
        <v>17</v>
      </c>
      <c r="C174" s="840">
        <v>1</v>
      </c>
      <c r="D174" s="838" t="s">
        <v>13</v>
      </c>
      <c r="E174" s="839">
        <v>266874.31868891389</v>
      </c>
      <c r="F174" s="839">
        <f>E174*C174</f>
        <v>266874.31868891389</v>
      </c>
      <c r="G174" s="866" t="s">
        <v>95</v>
      </c>
    </row>
    <row r="175" spans="1:7" ht="28.8">
      <c r="A175" s="612" t="s">
        <v>93</v>
      </c>
      <c r="B175" s="612" t="s">
        <v>19</v>
      </c>
      <c r="C175" s="840">
        <v>100</v>
      </c>
      <c r="D175" s="838" t="s">
        <v>9</v>
      </c>
      <c r="E175" s="839">
        <v>770.34433955233214</v>
      </c>
      <c r="F175" s="839">
        <f>E175*C175</f>
        <v>77034.433955233209</v>
      </c>
      <c r="G175" s="866" t="s">
        <v>95</v>
      </c>
    </row>
    <row r="176" spans="1:7" ht="28.8">
      <c r="A176" s="612" t="s">
        <v>93</v>
      </c>
      <c r="B176" s="612" t="s">
        <v>21</v>
      </c>
      <c r="C176" s="840">
        <v>71</v>
      </c>
      <c r="D176" s="838" t="s">
        <v>9</v>
      </c>
      <c r="E176" s="839">
        <v>3465.2650532849784</v>
      </c>
      <c r="F176" s="839">
        <f>E176*C176</f>
        <v>246033.81878323347</v>
      </c>
      <c r="G176" s="866" t="s">
        <v>95</v>
      </c>
    </row>
    <row r="177" spans="1:7" ht="28.8">
      <c r="A177" s="612" t="s">
        <v>93</v>
      </c>
      <c r="B177" s="612" t="s">
        <v>23</v>
      </c>
      <c r="C177" s="840">
        <v>18</v>
      </c>
      <c r="D177" s="838" t="s">
        <v>9</v>
      </c>
      <c r="E177" s="839">
        <v>5308.6426927995235</v>
      </c>
      <c r="F177" s="839">
        <f>E177*C177</f>
        <v>95555.568470391416</v>
      </c>
      <c r="G177" s="866" t="s">
        <v>95</v>
      </c>
    </row>
    <row r="178" spans="1:7" ht="28.8">
      <c r="A178" s="612" t="s">
        <v>93</v>
      </c>
      <c r="B178" s="612" t="s">
        <v>25</v>
      </c>
      <c r="C178" s="840">
        <v>200</v>
      </c>
      <c r="D178" s="838" t="s">
        <v>9</v>
      </c>
      <c r="E178" s="839">
        <v>2017.6500876823256</v>
      </c>
      <c r="F178" s="839">
        <f>E178*C178</f>
        <v>403530.01753646514</v>
      </c>
      <c r="G178" s="866" t="s">
        <v>95</v>
      </c>
    </row>
    <row r="179" spans="1:7" ht="28.8">
      <c r="A179" s="612" t="s">
        <v>93</v>
      </c>
      <c r="B179" s="612" t="s">
        <v>25</v>
      </c>
      <c r="C179" s="840">
        <v>130</v>
      </c>
      <c r="D179" s="838" t="s">
        <v>9</v>
      </c>
      <c r="E179" s="839">
        <v>2017.6500876823256</v>
      </c>
      <c r="F179" s="839">
        <f>E179*C179</f>
        <v>262294.51139870234</v>
      </c>
      <c r="G179" s="866" t="s">
        <v>95</v>
      </c>
    </row>
    <row r="180" spans="1:7" ht="28.8">
      <c r="A180" s="612" t="s">
        <v>93</v>
      </c>
      <c r="B180" s="612" t="s">
        <v>27</v>
      </c>
      <c r="C180" s="840">
        <v>2126</v>
      </c>
      <c r="D180" s="838" t="s">
        <v>9</v>
      </c>
      <c r="E180" s="839">
        <v>490.89892940848245</v>
      </c>
      <c r="F180" s="839">
        <f>E180*C180</f>
        <v>1043651.1239224337</v>
      </c>
      <c r="G180" s="866" t="s">
        <v>95</v>
      </c>
    </row>
    <row r="181" spans="1:7" ht="28.8">
      <c r="A181" s="612" t="s">
        <v>93</v>
      </c>
      <c r="B181" s="612" t="s">
        <v>29</v>
      </c>
      <c r="C181" s="840">
        <v>140</v>
      </c>
      <c r="D181" s="838" t="s">
        <v>9</v>
      </c>
      <c r="E181" s="839">
        <v>4660.6127006696488</v>
      </c>
      <c r="F181" s="839">
        <f>E181*C181</f>
        <v>652485.77809375082</v>
      </c>
      <c r="G181" s="866" t="s">
        <v>95</v>
      </c>
    </row>
    <row r="182" spans="1:7" ht="28.8">
      <c r="A182" s="612" t="s">
        <v>93</v>
      </c>
      <c r="B182" s="612" t="s">
        <v>29</v>
      </c>
      <c r="C182" s="840">
        <v>35</v>
      </c>
      <c r="D182" s="838" t="s">
        <v>9</v>
      </c>
      <c r="E182" s="839">
        <v>4660.6127006696488</v>
      </c>
      <c r="F182" s="839">
        <f>E182*C182</f>
        <v>163121.44452343771</v>
      </c>
      <c r="G182" s="866" t="s">
        <v>95</v>
      </c>
    </row>
    <row r="183" spans="1:7" ht="28.8">
      <c r="A183" s="612" t="s">
        <v>93</v>
      </c>
      <c r="B183" s="612" t="s">
        <v>31</v>
      </c>
      <c r="C183" s="840">
        <v>200</v>
      </c>
      <c r="D183" s="838" t="s">
        <v>9</v>
      </c>
      <c r="E183" s="839">
        <v>3314.7199764384945</v>
      </c>
      <c r="F183" s="839">
        <f>E183*C183</f>
        <v>662943.99528769893</v>
      </c>
      <c r="G183" s="866" t="s">
        <v>95</v>
      </c>
    </row>
    <row r="184" spans="1:7" ht="28.8">
      <c r="A184" s="612" t="s">
        <v>93</v>
      </c>
      <c r="B184" s="612" t="s">
        <v>31</v>
      </c>
      <c r="C184" s="840">
        <v>20</v>
      </c>
      <c r="D184" s="838" t="s">
        <v>9</v>
      </c>
      <c r="E184" s="839">
        <v>3314.7199764384945</v>
      </c>
      <c r="F184" s="839">
        <f>E184*C184</f>
        <v>66294.399528769893</v>
      </c>
      <c r="G184" s="866" t="s">
        <v>95</v>
      </c>
    </row>
    <row r="185" spans="1:7" ht="28.8">
      <c r="A185" s="612" t="s">
        <v>93</v>
      </c>
      <c r="B185" s="612" t="s">
        <v>33</v>
      </c>
      <c r="C185" s="840">
        <v>300</v>
      </c>
      <c r="D185" s="838" t="s">
        <v>9</v>
      </c>
      <c r="E185" s="839">
        <v>3187.5534161396367</v>
      </c>
      <c r="F185" s="839">
        <f>E185*C185</f>
        <v>956266.02484189102</v>
      </c>
      <c r="G185" s="866" t="s">
        <v>95</v>
      </c>
    </row>
    <row r="186" spans="1:7" ht="28.8">
      <c r="A186" s="612" t="s">
        <v>93</v>
      </c>
      <c r="B186" s="612" t="s">
        <v>33</v>
      </c>
      <c r="C186" s="840">
        <v>90</v>
      </c>
      <c r="D186" s="838" t="s">
        <v>9</v>
      </c>
      <c r="E186" s="839">
        <v>3187.5534161396367</v>
      </c>
      <c r="F186" s="839">
        <f>E186*C186</f>
        <v>286879.80745256733</v>
      </c>
      <c r="G186" s="866" t="s">
        <v>95</v>
      </c>
    </row>
    <row r="187" spans="1:7" ht="28.8">
      <c r="A187" s="612" t="s">
        <v>93</v>
      </c>
      <c r="B187" s="612" t="s">
        <v>35</v>
      </c>
      <c r="C187" s="840">
        <v>122</v>
      </c>
      <c r="D187" s="838" t="s">
        <v>9</v>
      </c>
      <c r="E187" s="839">
        <v>1993.3011409578826</v>
      </c>
      <c r="F187" s="839">
        <f>E187*C187</f>
        <v>243182.73919686169</v>
      </c>
      <c r="G187" s="866" t="s">
        <v>95</v>
      </c>
    </row>
    <row r="188" spans="1:7" ht="28.8">
      <c r="A188" s="612" t="s">
        <v>93</v>
      </c>
      <c r="B188" s="612" t="s">
        <v>37</v>
      </c>
      <c r="C188" s="840">
        <v>36</v>
      </c>
      <c r="D188" s="838" t="s">
        <v>9</v>
      </c>
      <c r="E188" s="839">
        <v>4318.151927557371</v>
      </c>
      <c r="F188" s="839">
        <f>E188*C188</f>
        <v>155453.46939206537</v>
      </c>
      <c r="G188" s="866" t="s">
        <v>95</v>
      </c>
    </row>
    <row r="189" spans="1:7" ht="28.8">
      <c r="A189" s="612" t="s">
        <v>93</v>
      </c>
      <c r="B189" s="612" t="s">
        <v>39</v>
      </c>
      <c r="C189" s="840">
        <v>220</v>
      </c>
      <c r="D189" s="838" t="s">
        <v>9</v>
      </c>
      <c r="E189" s="839">
        <v>603.40089704241223</v>
      </c>
      <c r="F189" s="839">
        <f>E189*C189</f>
        <v>132748.1973493307</v>
      </c>
      <c r="G189" s="866" t="s">
        <v>95</v>
      </c>
    </row>
    <row r="190" spans="1:7" ht="28.8">
      <c r="A190" s="612" t="s">
        <v>93</v>
      </c>
      <c r="B190" s="612" t="s">
        <v>39</v>
      </c>
      <c r="C190" s="840">
        <v>190</v>
      </c>
      <c r="D190" s="838" t="s">
        <v>9</v>
      </c>
      <c r="E190" s="839">
        <v>603.40089704241223</v>
      </c>
      <c r="F190" s="839">
        <f>E190*C190</f>
        <v>114646.17043805833</v>
      </c>
      <c r="G190" s="866" t="s">
        <v>95</v>
      </c>
    </row>
    <row r="191" spans="1:7" ht="28.8">
      <c r="A191" s="612" t="s">
        <v>93</v>
      </c>
      <c r="B191" s="612" t="s">
        <v>83</v>
      </c>
      <c r="C191" s="840">
        <v>125</v>
      </c>
      <c r="D191" s="838" t="s">
        <v>9</v>
      </c>
      <c r="E191" s="839">
        <v>2690.3350823412711</v>
      </c>
      <c r="F191" s="839">
        <f>E191*C191</f>
        <v>336291.88529265887</v>
      </c>
      <c r="G191" s="866" t="s">
        <v>95</v>
      </c>
    </row>
    <row r="192" spans="1:7" ht="28.8">
      <c r="A192" s="612" t="s">
        <v>93</v>
      </c>
      <c r="B192" s="612" t="s">
        <v>41</v>
      </c>
      <c r="C192" s="840">
        <v>30</v>
      </c>
      <c r="D192" s="838" t="s">
        <v>9</v>
      </c>
      <c r="E192" s="839">
        <v>5704.1926090764136</v>
      </c>
      <c r="F192" s="839">
        <f>E192*C192</f>
        <v>171125.7782722924</v>
      </c>
      <c r="G192" s="866" t="s">
        <v>95</v>
      </c>
    </row>
    <row r="193" spans="1:7" ht="28.8">
      <c r="A193" s="612" t="s">
        <v>93</v>
      </c>
      <c r="B193" s="612" t="s">
        <v>43</v>
      </c>
      <c r="C193" s="840">
        <v>24</v>
      </c>
      <c r="D193" s="838" t="s">
        <v>9</v>
      </c>
      <c r="E193" s="839">
        <v>5845.2857326537705</v>
      </c>
      <c r="F193" s="839">
        <f>E193*C193</f>
        <v>140286.85758369049</v>
      </c>
      <c r="G193" s="866" t="s">
        <v>95</v>
      </c>
    </row>
    <row r="194" spans="1:7" ht="28.8">
      <c r="A194" s="612" t="s">
        <v>93</v>
      </c>
      <c r="B194" s="612" t="s">
        <v>43</v>
      </c>
      <c r="C194" s="840">
        <v>24</v>
      </c>
      <c r="D194" s="838" t="s">
        <v>9</v>
      </c>
      <c r="E194" s="839">
        <v>5845.2857326537705</v>
      </c>
      <c r="F194" s="839">
        <f>E194*C194</f>
        <v>140286.85758369049</v>
      </c>
      <c r="G194" s="866" t="s">
        <v>95</v>
      </c>
    </row>
    <row r="195" spans="1:7" ht="28.8">
      <c r="A195" s="612" t="s">
        <v>93</v>
      </c>
      <c r="B195" s="612" t="s">
        <v>45</v>
      </c>
      <c r="C195" s="840">
        <v>740</v>
      </c>
      <c r="D195" s="838" t="s">
        <v>9</v>
      </c>
      <c r="E195" s="839">
        <v>332.57658823164718</v>
      </c>
      <c r="F195" s="839">
        <f>E195*C195</f>
        <v>246106.67529141891</v>
      </c>
      <c r="G195" s="866" t="s">
        <v>95</v>
      </c>
    </row>
    <row r="196" spans="1:7" ht="28.8">
      <c r="A196" s="612" t="s">
        <v>93</v>
      </c>
      <c r="B196" s="612" t="s">
        <v>45</v>
      </c>
      <c r="C196" s="840">
        <v>720</v>
      </c>
      <c r="D196" s="838" t="s">
        <v>9</v>
      </c>
      <c r="E196" s="839">
        <v>332.57658823164718</v>
      </c>
      <c r="F196" s="839">
        <f>E196*C196</f>
        <v>239455.14352678598</v>
      </c>
      <c r="G196" s="866" t="s">
        <v>95</v>
      </c>
    </row>
    <row r="197" spans="1:7" ht="28.8">
      <c r="A197" s="612" t="s">
        <v>93</v>
      </c>
      <c r="B197" s="612" t="s">
        <v>47</v>
      </c>
      <c r="C197" s="840">
        <v>120</v>
      </c>
      <c r="D197" s="838" t="s">
        <v>9</v>
      </c>
      <c r="E197" s="839">
        <v>1046.875</v>
      </c>
      <c r="F197" s="839">
        <f>E197*C197</f>
        <v>125625</v>
      </c>
      <c r="G197" s="866" t="s">
        <v>95</v>
      </c>
    </row>
    <row r="198" spans="1:7" ht="28.8">
      <c r="A198" s="612" t="s">
        <v>93</v>
      </c>
      <c r="B198" s="612" t="s">
        <v>47</v>
      </c>
      <c r="C198" s="840">
        <v>100</v>
      </c>
      <c r="D198" s="838" t="s">
        <v>9</v>
      </c>
      <c r="E198" s="839">
        <v>1046.875</v>
      </c>
      <c r="F198" s="839">
        <f>E198*C198</f>
        <v>104687.5</v>
      </c>
      <c r="G198" s="866" t="s">
        <v>95</v>
      </c>
    </row>
    <row r="199" spans="1:7" ht="28.8">
      <c r="A199" s="612" t="s">
        <v>93</v>
      </c>
      <c r="B199" s="612" t="s">
        <v>49</v>
      </c>
      <c r="C199" s="840">
        <v>40</v>
      </c>
      <c r="D199" s="838" t="s">
        <v>9</v>
      </c>
      <c r="E199" s="839">
        <v>6008.9289574156746</v>
      </c>
      <c r="F199" s="839">
        <f>E199*C199</f>
        <v>240357.15829662699</v>
      </c>
      <c r="G199" s="866" t="s">
        <v>95</v>
      </c>
    </row>
    <row r="200" spans="1:7" ht="28.8">
      <c r="A200" s="612" t="s">
        <v>93</v>
      </c>
      <c r="B200" s="612" t="s">
        <v>51</v>
      </c>
      <c r="C200" s="840">
        <v>43</v>
      </c>
      <c r="D200" s="838" t="s">
        <v>9</v>
      </c>
      <c r="E200" s="839">
        <v>2615</v>
      </c>
      <c r="F200" s="839">
        <f>E200*C200</f>
        <v>112445</v>
      </c>
      <c r="G200" s="866" t="s">
        <v>95</v>
      </c>
    </row>
    <row r="201" spans="1:7" ht="28.8">
      <c r="A201" s="612" t="s">
        <v>93</v>
      </c>
      <c r="B201" s="612" t="s">
        <v>53</v>
      </c>
      <c r="C201" s="840">
        <v>334</v>
      </c>
      <c r="D201" s="838" t="s">
        <v>9</v>
      </c>
      <c r="E201" s="839">
        <v>414.06</v>
      </c>
      <c r="F201" s="839">
        <f>E201*C201</f>
        <v>138296.04</v>
      </c>
      <c r="G201" s="866" t="s">
        <v>95</v>
      </c>
    </row>
    <row r="202" spans="1:7" ht="28.8">
      <c r="A202" s="612" t="s">
        <v>93</v>
      </c>
      <c r="B202" s="612" t="s">
        <v>55</v>
      </c>
      <c r="C202" s="840">
        <v>100</v>
      </c>
      <c r="D202" s="838" t="s">
        <v>9</v>
      </c>
      <c r="E202" s="839">
        <v>656.93</v>
      </c>
      <c r="F202" s="839">
        <f>E202*C202</f>
        <v>65693</v>
      </c>
      <c r="G202" s="866" t="s">
        <v>95</v>
      </c>
    </row>
    <row r="203" spans="1:7" ht="28.8">
      <c r="A203" s="861" t="s">
        <v>93</v>
      </c>
      <c r="B203" s="861" t="s">
        <v>97</v>
      </c>
      <c r="C203" s="840">
        <v>1</v>
      </c>
      <c r="D203" s="838" t="s">
        <v>13</v>
      </c>
      <c r="E203" s="839">
        <v>12853136.559999997</v>
      </c>
      <c r="F203" s="839">
        <f>E203*C203</f>
        <v>12853136.559999997</v>
      </c>
      <c r="G203" s="866" t="s">
        <v>95</v>
      </c>
    </row>
    <row r="204" spans="1:7">
      <c r="A204" s="612" t="s">
        <v>98</v>
      </c>
      <c r="B204" s="612" t="s">
        <v>8</v>
      </c>
      <c r="C204" s="840">
        <v>112.69999999999999</v>
      </c>
      <c r="D204" s="838" t="s">
        <v>9</v>
      </c>
      <c r="E204" s="839">
        <v>17628.016110227749</v>
      </c>
      <c r="F204" s="839">
        <f>E204*C204</f>
        <v>1986677.4156226672</v>
      </c>
      <c r="G204" s="865" t="s">
        <v>99</v>
      </c>
    </row>
    <row r="205" spans="1:7">
      <c r="A205" s="612" t="s">
        <v>98</v>
      </c>
      <c r="B205" s="612" t="s">
        <v>12</v>
      </c>
      <c r="C205" s="840">
        <v>1</v>
      </c>
      <c r="D205" s="838" t="s">
        <v>13</v>
      </c>
      <c r="E205" s="839">
        <v>2169714.9829005385</v>
      </c>
      <c r="F205" s="839">
        <f>E205*C205</f>
        <v>2169714.9829005385</v>
      </c>
      <c r="G205" s="865" t="s">
        <v>99</v>
      </c>
    </row>
    <row r="206" spans="1:7">
      <c r="A206" s="612" t="s">
        <v>98</v>
      </c>
      <c r="B206" s="612" t="s">
        <v>15</v>
      </c>
      <c r="C206" s="840">
        <v>167</v>
      </c>
      <c r="D206" s="838" t="s">
        <v>9</v>
      </c>
      <c r="E206" s="839">
        <v>9704.5206795968697</v>
      </c>
      <c r="F206" s="839">
        <f>E206*C206</f>
        <v>1620654.9534926773</v>
      </c>
      <c r="G206" s="865" t="s">
        <v>99</v>
      </c>
    </row>
    <row r="207" spans="1:7">
      <c r="A207" s="612" t="s">
        <v>98</v>
      </c>
      <c r="B207" s="861" t="s">
        <v>17</v>
      </c>
      <c r="C207" s="840">
        <v>1</v>
      </c>
      <c r="D207" s="838" t="s">
        <v>13</v>
      </c>
      <c r="E207" s="839">
        <v>587123.50111561059</v>
      </c>
      <c r="F207" s="839">
        <f>E207*C207</f>
        <v>587123.50111561059</v>
      </c>
      <c r="G207" s="865" t="s">
        <v>99</v>
      </c>
    </row>
    <row r="208" spans="1:7">
      <c r="A208" s="612" t="s">
        <v>98</v>
      </c>
      <c r="B208" s="612" t="s">
        <v>79</v>
      </c>
      <c r="C208" s="840">
        <v>15</v>
      </c>
      <c r="D208" s="838" t="s">
        <v>9</v>
      </c>
      <c r="E208" s="839">
        <v>21257.799804454229</v>
      </c>
      <c r="F208" s="839">
        <f>E208*C208</f>
        <v>318866.99706681346</v>
      </c>
      <c r="G208" s="865" t="s">
        <v>99</v>
      </c>
    </row>
    <row r="209" spans="1:7">
      <c r="A209" s="612" t="s">
        <v>98</v>
      </c>
      <c r="B209" s="612" t="s">
        <v>19</v>
      </c>
      <c r="C209" s="840">
        <v>220</v>
      </c>
      <c r="D209" s="838" t="s">
        <v>9</v>
      </c>
      <c r="E209" s="839">
        <v>770.34433955233214</v>
      </c>
      <c r="F209" s="839">
        <f>E209*C209</f>
        <v>169475.75470151307</v>
      </c>
      <c r="G209" s="865" t="s">
        <v>99</v>
      </c>
    </row>
    <row r="210" spans="1:7">
      <c r="A210" s="612" t="s">
        <v>98</v>
      </c>
      <c r="B210" s="612" t="s">
        <v>21</v>
      </c>
      <c r="C210" s="840">
        <v>4</v>
      </c>
      <c r="D210" s="838" t="s">
        <v>9</v>
      </c>
      <c r="E210" s="839">
        <v>3465.2650532849784</v>
      </c>
      <c r="F210" s="839">
        <f>E210*C210</f>
        <v>13861.060213139914</v>
      </c>
      <c r="G210" s="865" t="s">
        <v>99</v>
      </c>
    </row>
    <row r="211" spans="1:7">
      <c r="A211" s="612" t="s">
        <v>98</v>
      </c>
      <c r="B211" s="612" t="s">
        <v>21</v>
      </c>
      <c r="C211" s="840">
        <v>28</v>
      </c>
      <c r="D211" s="838" t="s">
        <v>9</v>
      </c>
      <c r="E211" s="839">
        <v>3465.2650532849784</v>
      </c>
      <c r="F211" s="839">
        <f>E211*C211</f>
        <v>97027.421491979389</v>
      </c>
      <c r="G211" s="865" t="s">
        <v>99</v>
      </c>
    </row>
    <row r="212" spans="1:7">
      <c r="A212" s="612" t="s">
        <v>98</v>
      </c>
      <c r="B212" s="612" t="s">
        <v>23</v>
      </c>
      <c r="C212" s="840">
        <v>18</v>
      </c>
      <c r="D212" s="838" t="s">
        <v>9</v>
      </c>
      <c r="E212" s="839">
        <v>5308.6426927995235</v>
      </c>
      <c r="F212" s="839">
        <f>E212*C212</f>
        <v>95555.568470391416</v>
      </c>
      <c r="G212" s="865" t="s">
        <v>99</v>
      </c>
    </row>
    <row r="213" spans="1:7">
      <c r="A213" s="612" t="s">
        <v>98</v>
      </c>
      <c r="B213" s="612" t="s">
        <v>23</v>
      </c>
      <c r="C213" s="840">
        <v>21</v>
      </c>
      <c r="D213" s="838" t="s">
        <v>9</v>
      </c>
      <c r="E213" s="839">
        <v>5308.6426927995235</v>
      </c>
      <c r="F213" s="839">
        <f>E213*C213</f>
        <v>111481.49654878999</v>
      </c>
      <c r="G213" s="865" t="s">
        <v>99</v>
      </c>
    </row>
    <row r="214" spans="1:7">
      <c r="A214" s="612" t="s">
        <v>98</v>
      </c>
      <c r="B214" s="612" t="s">
        <v>29</v>
      </c>
      <c r="C214" s="840">
        <v>415</v>
      </c>
      <c r="D214" s="838" t="s">
        <v>9</v>
      </c>
      <c r="E214" s="839">
        <v>4660.6127006696488</v>
      </c>
      <c r="F214" s="839">
        <f>E214*C214</f>
        <v>1934154.2707779042</v>
      </c>
      <c r="G214" s="865" t="s">
        <v>99</v>
      </c>
    </row>
    <row r="215" spans="1:7">
      <c r="A215" s="612" t="s">
        <v>98</v>
      </c>
      <c r="B215" s="612" t="s">
        <v>61</v>
      </c>
      <c r="C215" s="840">
        <v>50</v>
      </c>
      <c r="D215" s="838" t="s">
        <v>9</v>
      </c>
      <c r="E215" s="839">
        <v>14857.939794759593</v>
      </c>
      <c r="F215" s="839">
        <f>E215*C215</f>
        <v>742896.98973797972</v>
      </c>
      <c r="G215" s="865" t="s">
        <v>99</v>
      </c>
    </row>
    <row r="216" spans="1:7">
      <c r="A216" s="612" t="s">
        <v>98</v>
      </c>
      <c r="B216" s="612" t="s">
        <v>61</v>
      </c>
      <c r="C216" s="840">
        <v>50</v>
      </c>
      <c r="D216" s="838" t="s">
        <v>9</v>
      </c>
      <c r="E216" s="839">
        <v>14857.939794759593</v>
      </c>
      <c r="F216" s="839">
        <f>E216*C216</f>
        <v>742896.98973797972</v>
      </c>
      <c r="G216" s="865" t="s">
        <v>99</v>
      </c>
    </row>
    <row r="217" spans="1:7">
      <c r="A217" s="612" t="s">
        <v>98</v>
      </c>
      <c r="B217" s="612" t="s">
        <v>31</v>
      </c>
      <c r="C217" s="840">
        <v>300</v>
      </c>
      <c r="D217" s="838" t="s">
        <v>9</v>
      </c>
      <c r="E217" s="839">
        <v>3314.7199764384945</v>
      </c>
      <c r="F217" s="839">
        <f>E217*C217</f>
        <v>994415.99293154839</v>
      </c>
      <c r="G217" s="865" t="s">
        <v>99</v>
      </c>
    </row>
    <row r="218" spans="1:7">
      <c r="A218" s="612" t="s">
        <v>98</v>
      </c>
      <c r="B218" s="612" t="s">
        <v>35</v>
      </c>
      <c r="C218" s="842">
        <v>158</v>
      </c>
      <c r="D218" s="838" t="s">
        <v>9</v>
      </c>
      <c r="E218" s="839">
        <v>1993.3011409578826</v>
      </c>
      <c r="F218" s="839">
        <f>E218*C218</f>
        <v>314941.58027134545</v>
      </c>
      <c r="G218" s="865" t="s">
        <v>99</v>
      </c>
    </row>
    <row r="219" spans="1:7">
      <c r="A219" s="612" t="s">
        <v>98</v>
      </c>
      <c r="B219" s="612" t="s">
        <v>63</v>
      </c>
      <c r="C219" s="840">
        <v>1</v>
      </c>
      <c r="D219" s="838" t="s">
        <v>64</v>
      </c>
      <c r="E219" s="839">
        <v>80668</v>
      </c>
      <c r="F219" s="839">
        <f>E219*C219</f>
        <v>80668</v>
      </c>
      <c r="G219" s="865" t="s">
        <v>99</v>
      </c>
    </row>
    <row r="220" spans="1:7">
      <c r="A220" s="612" t="s">
        <v>98</v>
      </c>
      <c r="B220" s="612" t="s">
        <v>63</v>
      </c>
      <c r="C220" s="840">
        <v>2</v>
      </c>
      <c r="D220" s="838" t="s">
        <v>64</v>
      </c>
      <c r="E220" s="839">
        <v>80668</v>
      </c>
      <c r="F220" s="839">
        <f>E220*C220</f>
        <v>161336</v>
      </c>
      <c r="G220" s="865" t="s">
        <v>99</v>
      </c>
    </row>
    <row r="221" spans="1:7">
      <c r="A221" s="612" t="s">
        <v>98</v>
      </c>
      <c r="B221" s="612" t="s">
        <v>37</v>
      </c>
      <c r="C221" s="840">
        <v>24</v>
      </c>
      <c r="D221" s="838" t="s">
        <v>9</v>
      </c>
      <c r="E221" s="839">
        <v>4318.151927557371</v>
      </c>
      <c r="F221" s="839">
        <f>E221*C221</f>
        <v>103635.64626137691</v>
      </c>
      <c r="G221" s="865" t="s">
        <v>99</v>
      </c>
    </row>
    <row r="222" spans="1:7">
      <c r="A222" s="612" t="s">
        <v>98</v>
      </c>
      <c r="B222" s="612" t="s">
        <v>37</v>
      </c>
      <c r="C222" s="840">
        <v>18</v>
      </c>
      <c r="D222" s="838" t="s">
        <v>9</v>
      </c>
      <c r="E222" s="839">
        <v>4318.151927557371</v>
      </c>
      <c r="F222" s="839">
        <f>E222*C222</f>
        <v>77726.734696032683</v>
      </c>
      <c r="G222" s="865" t="s">
        <v>99</v>
      </c>
    </row>
    <row r="223" spans="1:7">
      <c r="A223" s="612" t="s">
        <v>98</v>
      </c>
      <c r="B223" s="612" t="s">
        <v>39</v>
      </c>
      <c r="C223" s="840">
        <v>450</v>
      </c>
      <c r="D223" s="838" t="s">
        <v>9</v>
      </c>
      <c r="E223" s="839">
        <v>603.40089704241223</v>
      </c>
      <c r="F223" s="839">
        <f>E223*C223</f>
        <v>271530.40366908553</v>
      </c>
      <c r="G223" s="865" t="s">
        <v>99</v>
      </c>
    </row>
    <row r="224" spans="1:7">
      <c r="A224" s="612" t="s">
        <v>98</v>
      </c>
      <c r="B224" s="612" t="s">
        <v>47</v>
      </c>
      <c r="C224" s="840">
        <v>260</v>
      </c>
      <c r="D224" s="838" t="s">
        <v>9</v>
      </c>
      <c r="E224" s="839">
        <v>1046.875</v>
      </c>
      <c r="F224" s="839">
        <f>E224*C224</f>
        <v>272187.5</v>
      </c>
      <c r="G224" s="865" t="s">
        <v>99</v>
      </c>
    </row>
    <row r="225" spans="1:7">
      <c r="A225" s="612" t="s">
        <v>98</v>
      </c>
      <c r="B225" s="612" t="s">
        <v>49</v>
      </c>
      <c r="C225" s="840">
        <v>45</v>
      </c>
      <c r="D225" s="838" t="s">
        <v>9</v>
      </c>
      <c r="E225" s="839">
        <v>6008.9289574156746</v>
      </c>
      <c r="F225" s="839">
        <f>E225*C225</f>
        <v>270401.80308370537</v>
      </c>
      <c r="G225" s="865" t="s">
        <v>99</v>
      </c>
    </row>
    <row r="226" spans="1:7">
      <c r="A226" s="612" t="s">
        <v>98</v>
      </c>
      <c r="B226" s="612" t="s">
        <v>49</v>
      </c>
      <c r="C226" s="840">
        <v>25</v>
      </c>
      <c r="D226" s="838" t="s">
        <v>9</v>
      </c>
      <c r="E226" s="839">
        <v>6008.9289574156746</v>
      </c>
      <c r="F226" s="839">
        <f>E226*C226</f>
        <v>150223.22393539187</v>
      </c>
      <c r="G226" s="865" t="s">
        <v>99</v>
      </c>
    </row>
    <row r="227" spans="1:7">
      <c r="A227" s="612" t="s">
        <v>98</v>
      </c>
      <c r="B227" s="612" t="s">
        <v>51</v>
      </c>
      <c r="C227" s="840">
        <v>56</v>
      </c>
      <c r="D227" s="838" t="s">
        <v>9</v>
      </c>
      <c r="E227" s="839">
        <v>2615</v>
      </c>
      <c r="F227" s="839">
        <f>E227*C227</f>
        <v>146440</v>
      </c>
      <c r="G227" s="865" t="s">
        <v>99</v>
      </c>
    </row>
    <row r="228" spans="1:7">
      <c r="A228" s="612" t="s">
        <v>98</v>
      </c>
      <c r="B228" s="612" t="s">
        <v>53</v>
      </c>
      <c r="C228" s="840">
        <v>184</v>
      </c>
      <c r="D228" s="838" t="s">
        <v>9</v>
      </c>
      <c r="E228" s="839">
        <v>414.06</v>
      </c>
      <c r="F228" s="839">
        <f>E228*C228</f>
        <v>76187.039999999994</v>
      </c>
      <c r="G228" s="865" t="s">
        <v>99</v>
      </c>
    </row>
    <row r="229" spans="1:7">
      <c r="A229" s="612" t="s">
        <v>98</v>
      </c>
      <c r="B229" s="612" t="s">
        <v>53</v>
      </c>
      <c r="C229" s="840">
        <v>248</v>
      </c>
      <c r="D229" s="838" t="s">
        <v>9</v>
      </c>
      <c r="E229" s="839">
        <v>414.06</v>
      </c>
      <c r="F229" s="839">
        <f>E229*C229</f>
        <v>102686.88</v>
      </c>
      <c r="G229" s="865" t="s">
        <v>99</v>
      </c>
    </row>
    <row r="230" spans="1:7">
      <c r="A230" s="612" t="s">
        <v>98</v>
      </c>
      <c r="B230" s="612" t="s">
        <v>55</v>
      </c>
      <c r="C230" s="840">
        <v>220</v>
      </c>
      <c r="D230" s="838" t="s">
        <v>9</v>
      </c>
      <c r="E230" s="839">
        <v>656.93</v>
      </c>
      <c r="F230" s="839">
        <f>E230*C230</f>
        <v>144524.59999999998</v>
      </c>
      <c r="G230" s="865" t="s">
        <v>99</v>
      </c>
    </row>
    <row r="231" spans="1:7">
      <c r="A231" s="612" t="s">
        <v>100</v>
      </c>
      <c r="B231" s="612" t="s">
        <v>102</v>
      </c>
      <c r="C231" s="840">
        <v>5000</v>
      </c>
      <c r="D231" s="838" t="s">
        <v>9</v>
      </c>
      <c r="E231" s="839">
        <v>871.57907350570667</v>
      </c>
      <c r="F231" s="839">
        <f>E231*C231</f>
        <v>4357895.3675285336</v>
      </c>
      <c r="G231" s="865" t="s">
        <v>103</v>
      </c>
    </row>
    <row r="232" spans="1:7">
      <c r="A232" s="612" t="s">
        <v>100</v>
      </c>
      <c r="B232" s="612" t="s">
        <v>105</v>
      </c>
      <c r="C232" s="840">
        <v>35</v>
      </c>
      <c r="D232" s="838" t="s">
        <v>64</v>
      </c>
      <c r="E232" s="839">
        <v>34930.615893750648</v>
      </c>
      <c r="F232" s="839">
        <f>E232*C232</f>
        <v>1222571.5562812728</v>
      </c>
      <c r="G232" s="865" t="s">
        <v>103</v>
      </c>
    </row>
    <row r="233" spans="1:7">
      <c r="A233" s="612" t="s">
        <v>100</v>
      </c>
      <c r="B233" s="612" t="s">
        <v>107</v>
      </c>
      <c r="C233" s="840">
        <v>2000</v>
      </c>
      <c r="D233" s="838" t="s">
        <v>9</v>
      </c>
      <c r="E233" s="839">
        <v>925.21470879836556</v>
      </c>
      <c r="F233" s="839">
        <f>E233*C233</f>
        <v>1850429.4175967311</v>
      </c>
      <c r="G233" s="865" t="s">
        <v>103</v>
      </c>
    </row>
    <row r="234" spans="1:7">
      <c r="A234" s="612" t="s">
        <v>100</v>
      </c>
      <c r="B234" s="612" t="s">
        <v>109</v>
      </c>
      <c r="C234" s="840">
        <v>1</v>
      </c>
      <c r="D234" s="838" t="s">
        <v>13</v>
      </c>
      <c r="E234" s="839">
        <v>1998460.5900000003</v>
      </c>
      <c r="F234" s="839">
        <f>E234*C234</f>
        <v>1998460.5900000003</v>
      </c>
      <c r="G234" s="865" t="s">
        <v>103</v>
      </c>
    </row>
    <row r="235" spans="1:7" ht="43.2">
      <c r="A235" s="612" t="s">
        <v>110</v>
      </c>
      <c r="B235" s="612" t="s">
        <v>97</v>
      </c>
      <c r="C235" s="840">
        <v>1</v>
      </c>
      <c r="D235" s="838" t="s">
        <v>13</v>
      </c>
      <c r="E235" s="839">
        <v>8997195.5919999983</v>
      </c>
      <c r="F235" s="839">
        <f>E235*C235</f>
        <v>8997195.5919999983</v>
      </c>
      <c r="G235" s="866" t="s">
        <v>111</v>
      </c>
    </row>
    <row r="236" spans="1:7">
      <c r="A236" s="612" t="s">
        <v>112</v>
      </c>
      <c r="B236" s="612" t="s">
        <v>21</v>
      </c>
      <c r="C236" s="840">
        <v>8</v>
      </c>
      <c r="D236" s="838" t="s">
        <v>9</v>
      </c>
      <c r="E236" s="839">
        <v>3465.2650532849784</v>
      </c>
      <c r="F236" s="839">
        <f>E236*C236</f>
        <v>27722.120426279827</v>
      </c>
      <c r="G236" s="865" t="s">
        <v>113</v>
      </c>
    </row>
    <row r="237" spans="1:7">
      <c r="A237" s="612" t="s">
        <v>112</v>
      </c>
      <c r="B237" s="612" t="s">
        <v>23</v>
      </c>
      <c r="C237" s="840">
        <v>18</v>
      </c>
      <c r="D237" s="838" t="s">
        <v>9</v>
      </c>
      <c r="E237" s="839">
        <v>5308.6426927995235</v>
      </c>
      <c r="F237" s="839">
        <f>E237*C237</f>
        <v>95555.568470391416</v>
      </c>
      <c r="G237" s="865" t="s">
        <v>113</v>
      </c>
    </row>
    <row r="238" spans="1:7">
      <c r="A238" s="612" t="s">
        <v>112</v>
      </c>
      <c r="B238" s="612" t="s">
        <v>35</v>
      </c>
      <c r="C238" s="842">
        <v>87</v>
      </c>
      <c r="D238" s="838" t="s">
        <v>9</v>
      </c>
      <c r="E238" s="839">
        <v>1993.3011409578826</v>
      </c>
      <c r="F238" s="839">
        <f>E238*C238</f>
        <v>173417.19926333579</v>
      </c>
      <c r="G238" s="865" t="s">
        <v>113</v>
      </c>
    </row>
    <row r="239" spans="1:7">
      <c r="A239" s="612" t="s">
        <v>112</v>
      </c>
      <c r="B239" s="612" t="s">
        <v>63</v>
      </c>
      <c r="C239" s="840">
        <v>4</v>
      </c>
      <c r="D239" s="838" t="s">
        <v>64</v>
      </c>
      <c r="E239" s="839">
        <v>80668</v>
      </c>
      <c r="F239" s="839">
        <f>E239*C239</f>
        <v>322672</v>
      </c>
      <c r="G239" s="865" t="s">
        <v>113</v>
      </c>
    </row>
    <row r="240" spans="1:7">
      <c r="A240" s="612" t="s">
        <v>112</v>
      </c>
      <c r="B240" s="612" t="s">
        <v>37</v>
      </c>
      <c r="C240" s="840">
        <v>23</v>
      </c>
      <c r="D240" s="838" t="s">
        <v>9</v>
      </c>
      <c r="E240" s="839">
        <v>4318.151927557371</v>
      </c>
      <c r="F240" s="839">
        <f>E240*C240</f>
        <v>99317.49433381953</v>
      </c>
      <c r="G240" s="865" t="s">
        <v>113</v>
      </c>
    </row>
    <row r="241" spans="1:7">
      <c r="A241" s="612" t="s">
        <v>112</v>
      </c>
      <c r="B241" s="612" t="s">
        <v>41</v>
      </c>
      <c r="C241" s="840">
        <v>15</v>
      </c>
      <c r="D241" s="838" t="s">
        <v>9</v>
      </c>
      <c r="E241" s="839">
        <v>5704.1926090764136</v>
      </c>
      <c r="F241" s="839">
        <f>E241*C241</f>
        <v>85562.889136146201</v>
      </c>
      <c r="G241" s="865" t="s">
        <v>113</v>
      </c>
    </row>
    <row r="242" spans="1:7">
      <c r="A242" s="612" t="s">
        <v>112</v>
      </c>
      <c r="B242" s="612" t="s">
        <v>75</v>
      </c>
      <c r="C242" s="840">
        <v>1</v>
      </c>
      <c r="D242" s="838" t="s">
        <v>13</v>
      </c>
      <c r="E242" s="839">
        <v>1436802.9234951097</v>
      </c>
      <c r="F242" s="839">
        <f>E242*C242</f>
        <v>1436802.9234951097</v>
      </c>
      <c r="G242" s="865" t="s">
        <v>113</v>
      </c>
    </row>
    <row r="243" spans="1:7">
      <c r="A243" s="612" t="s">
        <v>112</v>
      </c>
      <c r="B243" s="612" t="s">
        <v>51</v>
      </c>
      <c r="C243" s="840">
        <v>32</v>
      </c>
      <c r="D243" s="838" t="s">
        <v>9</v>
      </c>
      <c r="E243" s="839">
        <v>2615</v>
      </c>
      <c r="F243" s="839">
        <f>E243*C243</f>
        <v>83680</v>
      </c>
      <c r="G243" s="865" t="s">
        <v>113</v>
      </c>
    </row>
    <row r="244" spans="1:7">
      <c r="A244" s="612" t="s">
        <v>112</v>
      </c>
      <c r="B244" s="612" t="s">
        <v>53</v>
      </c>
      <c r="C244" s="840">
        <v>238</v>
      </c>
      <c r="D244" s="838" t="s">
        <v>9</v>
      </c>
      <c r="E244" s="839">
        <v>414.06</v>
      </c>
      <c r="F244" s="839">
        <f>E244*C244</f>
        <v>98546.28</v>
      </c>
      <c r="G244" s="865" t="s">
        <v>113</v>
      </c>
    </row>
    <row r="245" spans="1:7">
      <c r="A245" s="612" t="s">
        <v>114</v>
      </c>
      <c r="B245" s="612" t="s">
        <v>29</v>
      </c>
      <c r="C245" s="840">
        <v>230</v>
      </c>
      <c r="D245" s="838" t="s">
        <v>9</v>
      </c>
      <c r="E245" s="839">
        <v>4660.6127006696488</v>
      </c>
      <c r="F245" s="839">
        <f>E245*C245</f>
        <v>1071940.9211540192</v>
      </c>
      <c r="G245" s="865" t="s">
        <v>113</v>
      </c>
    </row>
    <row r="246" spans="1:7">
      <c r="A246" s="612" t="s">
        <v>114</v>
      </c>
      <c r="B246" s="612" t="s">
        <v>31</v>
      </c>
      <c r="C246" s="840">
        <v>110</v>
      </c>
      <c r="D246" s="838" t="s">
        <v>9</v>
      </c>
      <c r="E246" s="839">
        <v>3314.7199764384945</v>
      </c>
      <c r="F246" s="839">
        <f>E246*C246</f>
        <v>364619.19740823441</v>
      </c>
      <c r="G246" s="865" t="s">
        <v>113</v>
      </c>
    </row>
    <row r="247" spans="1:7">
      <c r="A247" s="612" t="s">
        <v>114</v>
      </c>
      <c r="B247" s="612" t="s">
        <v>39</v>
      </c>
      <c r="C247" s="840">
        <v>200</v>
      </c>
      <c r="D247" s="838" t="s">
        <v>9</v>
      </c>
      <c r="E247" s="839">
        <v>603.40089704241223</v>
      </c>
      <c r="F247" s="839">
        <f>E247*C247</f>
        <v>120680.17940848245</v>
      </c>
      <c r="G247" s="865" t="s">
        <v>113</v>
      </c>
    </row>
    <row r="248" spans="1:7">
      <c r="A248" s="612" t="s">
        <v>114</v>
      </c>
      <c r="B248" s="612" t="s">
        <v>75</v>
      </c>
      <c r="C248" s="840">
        <v>1</v>
      </c>
      <c r="D248" s="838" t="s">
        <v>13</v>
      </c>
      <c r="E248" s="839">
        <v>1436802.9234951097</v>
      </c>
      <c r="F248" s="839">
        <f>E248*C248</f>
        <v>1436802.9234951097</v>
      </c>
      <c r="G248" s="865" t="s">
        <v>113</v>
      </c>
    </row>
    <row r="249" spans="1:7">
      <c r="A249" s="612" t="s">
        <v>114</v>
      </c>
      <c r="B249" s="612" t="s">
        <v>47</v>
      </c>
      <c r="C249" s="840">
        <v>50</v>
      </c>
      <c r="D249" s="838" t="s">
        <v>9</v>
      </c>
      <c r="E249" s="839">
        <v>1046.875</v>
      </c>
      <c r="F249" s="839">
        <f>E249*C249</f>
        <v>52343.75</v>
      </c>
      <c r="G249" s="865" t="s">
        <v>113</v>
      </c>
    </row>
    <row r="250" spans="1:7">
      <c r="A250" s="612" t="s">
        <v>115</v>
      </c>
      <c r="B250" s="612" t="s">
        <v>117</v>
      </c>
      <c r="C250" s="840">
        <v>1</v>
      </c>
      <c r="D250" s="838" t="s">
        <v>13</v>
      </c>
      <c r="E250" s="839">
        <v>7714300.5800000001</v>
      </c>
      <c r="F250" s="839">
        <f>E250*C250</f>
        <v>7714300.5800000001</v>
      </c>
      <c r="G250" s="865" t="s">
        <v>103</v>
      </c>
    </row>
    <row r="251" spans="1:7">
      <c r="A251" s="612" t="s">
        <v>118</v>
      </c>
      <c r="B251" s="612" t="s">
        <v>120</v>
      </c>
      <c r="C251" s="840">
        <v>1</v>
      </c>
      <c r="D251" s="838" t="s">
        <v>13</v>
      </c>
      <c r="E251" s="839">
        <v>3808143.3628812865</v>
      </c>
      <c r="F251" s="839">
        <f>E251*C251</f>
        <v>3808143.3628812865</v>
      </c>
      <c r="G251" s="865" t="s">
        <v>103</v>
      </c>
    </row>
    <row r="252" spans="1:7">
      <c r="A252" s="612" t="s">
        <v>121</v>
      </c>
      <c r="B252" s="612" t="s">
        <v>123</v>
      </c>
      <c r="C252" s="840">
        <v>1</v>
      </c>
      <c r="D252" s="838" t="s">
        <v>13</v>
      </c>
      <c r="E252" s="839">
        <v>4410137.9573319275</v>
      </c>
      <c r="F252" s="839">
        <f>E252*C252</f>
        <v>4410137.9573319275</v>
      </c>
      <c r="G252" s="865" t="s">
        <v>103</v>
      </c>
    </row>
    <row r="253" spans="1:7">
      <c r="A253" s="612" t="s">
        <v>124</v>
      </c>
      <c r="B253" s="612" t="s">
        <v>21</v>
      </c>
      <c r="C253" s="840">
        <v>49</v>
      </c>
      <c r="D253" s="838" t="s">
        <v>9</v>
      </c>
      <c r="E253" s="839">
        <v>3465.2650532849784</v>
      </c>
      <c r="F253" s="839">
        <f>E253*C253</f>
        <v>169797.98761096393</v>
      </c>
      <c r="G253" s="865" t="s">
        <v>91</v>
      </c>
    </row>
    <row r="254" spans="1:7">
      <c r="A254" s="612" t="s">
        <v>124</v>
      </c>
      <c r="B254" s="612" t="s">
        <v>23</v>
      </c>
      <c r="C254" s="840">
        <v>18</v>
      </c>
      <c r="D254" s="838" t="s">
        <v>9</v>
      </c>
      <c r="E254" s="839">
        <v>5308.6426927995235</v>
      </c>
      <c r="F254" s="839">
        <f>E254*C254</f>
        <v>95555.568470391416</v>
      </c>
      <c r="G254" s="865" t="s">
        <v>91</v>
      </c>
    </row>
    <row r="255" spans="1:7">
      <c r="A255" s="612" t="s">
        <v>124</v>
      </c>
      <c r="B255" s="612" t="s">
        <v>29</v>
      </c>
      <c r="C255" s="840">
        <v>770</v>
      </c>
      <c r="D255" s="838" t="s">
        <v>9</v>
      </c>
      <c r="E255" s="839">
        <v>4660.6127006696488</v>
      </c>
      <c r="F255" s="839">
        <f>E255*C255</f>
        <v>3588671.7795156296</v>
      </c>
      <c r="G255" s="865" t="s">
        <v>91</v>
      </c>
    </row>
    <row r="256" spans="1:7">
      <c r="A256" s="612" t="s">
        <v>124</v>
      </c>
      <c r="B256" s="612" t="s">
        <v>61</v>
      </c>
      <c r="C256" s="840">
        <v>150</v>
      </c>
      <c r="D256" s="838" t="s">
        <v>9</v>
      </c>
      <c r="E256" s="839">
        <v>14857.939794759593</v>
      </c>
      <c r="F256" s="839">
        <f>E256*C256</f>
        <v>2228690.9692139388</v>
      </c>
      <c r="G256" s="865" t="s">
        <v>91</v>
      </c>
    </row>
    <row r="257" spans="1:7">
      <c r="A257" s="612" t="s">
        <v>124</v>
      </c>
      <c r="B257" s="612" t="s">
        <v>31</v>
      </c>
      <c r="C257" s="840">
        <v>540</v>
      </c>
      <c r="D257" s="838" t="s">
        <v>9</v>
      </c>
      <c r="E257" s="839">
        <v>3314.7199764384945</v>
      </c>
      <c r="F257" s="839">
        <f>E257*C257</f>
        <v>1789948.787276787</v>
      </c>
      <c r="G257" s="865" t="s">
        <v>91</v>
      </c>
    </row>
    <row r="258" spans="1:7">
      <c r="A258" s="612" t="s">
        <v>124</v>
      </c>
      <c r="B258" s="612" t="s">
        <v>35</v>
      </c>
      <c r="C258" s="842">
        <v>176</v>
      </c>
      <c r="D258" s="838" t="s">
        <v>9</v>
      </c>
      <c r="E258" s="839">
        <v>1993.3011409578826</v>
      </c>
      <c r="F258" s="839">
        <f>E258*C258</f>
        <v>350821.00080858736</v>
      </c>
      <c r="G258" s="865" t="s">
        <v>91</v>
      </c>
    </row>
    <row r="259" spans="1:7">
      <c r="A259" s="612" t="s">
        <v>124</v>
      </c>
      <c r="B259" s="612" t="s">
        <v>63</v>
      </c>
      <c r="C259" s="840">
        <v>3</v>
      </c>
      <c r="D259" s="838" t="s">
        <v>64</v>
      </c>
      <c r="E259" s="839">
        <v>80668</v>
      </c>
      <c r="F259" s="839">
        <f>E259*C259</f>
        <v>242004</v>
      </c>
      <c r="G259" s="865" t="s">
        <v>91</v>
      </c>
    </row>
    <row r="260" spans="1:7">
      <c r="A260" s="612" t="s">
        <v>124</v>
      </c>
      <c r="B260" s="612" t="s">
        <v>37</v>
      </c>
      <c r="C260" s="840">
        <v>47</v>
      </c>
      <c r="D260" s="838" t="s">
        <v>9</v>
      </c>
      <c r="E260" s="839">
        <v>4318.151927557371</v>
      </c>
      <c r="F260" s="839">
        <f>E260*C260</f>
        <v>202953.14059519643</v>
      </c>
      <c r="G260" s="865" t="s">
        <v>91</v>
      </c>
    </row>
    <row r="261" spans="1:7">
      <c r="A261" s="612" t="s">
        <v>124</v>
      </c>
      <c r="B261" s="612" t="s">
        <v>39</v>
      </c>
      <c r="C261" s="840">
        <v>350</v>
      </c>
      <c r="D261" s="838" t="s">
        <v>9</v>
      </c>
      <c r="E261" s="839">
        <v>603.40089704241223</v>
      </c>
      <c r="F261" s="839">
        <f>E261*C261</f>
        <v>211190.31396484427</v>
      </c>
      <c r="G261" s="865" t="s">
        <v>91</v>
      </c>
    </row>
    <row r="262" spans="1:7">
      <c r="A262" s="612" t="s">
        <v>124</v>
      </c>
      <c r="B262" s="612" t="s">
        <v>41</v>
      </c>
      <c r="C262" s="840">
        <v>20</v>
      </c>
      <c r="D262" s="838" t="s">
        <v>9</v>
      </c>
      <c r="E262" s="839">
        <v>5704.1926090764136</v>
      </c>
      <c r="F262" s="839">
        <f>E262*C262</f>
        <v>114083.85218152827</v>
      </c>
      <c r="G262" s="865" t="s">
        <v>91</v>
      </c>
    </row>
    <row r="263" spans="1:7">
      <c r="A263" s="612" t="s">
        <v>124</v>
      </c>
      <c r="B263" s="612" t="s">
        <v>47</v>
      </c>
      <c r="C263" s="840">
        <v>50</v>
      </c>
      <c r="D263" s="838" t="s">
        <v>9</v>
      </c>
      <c r="E263" s="839">
        <v>1046.875</v>
      </c>
      <c r="F263" s="839">
        <f>E263*C263</f>
        <v>52343.75</v>
      </c>
      <c r="G263" s="865" t="s">
        <v>91</v>
      </c>
    </row>
    <row r="264" spans="1:7">
      <c r="A264" s="612" t="s">
        <v>124</v>
      </c>
      <c r="B264" s="612" t="s">
        <v>51</v>
      </c>
      <c r="C264" s="840">
        <v>62</v>
      </c>
      <c r="D264" s="838" t="s">
        <v>9</v>
      </c>
      <c r="E264" s="839">
        <v>2615</v>
      </c>
      <c r="F264" s="839">
        <f>E264*C264</f>
        <v>162130</v>
      </c>
      <c r="G264" s="865" t="s">
        <v>91</v>
      </c>
    </row>
    <row r="265" spans="1:7">
      <c r="A265" s="612" t="s">
        <v>124</v>
      </c>
      <c r="B265" s="612" t="s">
        <v>53</v>
      </c>
      <c r="C265" s="840">
        <v>481</v>
      </c>
      <c r="D265" s="838" t="s">
        <v>9</v>
      </c>
      <c r="E265" s="839">
        <v>414.06</v>
      </c>
      <c r="F265" s="839">
        <f>E265*C265</f>
        <v>199162.86000000002</v>
      </c>
      <c r="G265" s="865" t="s">
        <v>91</v>
      </c>
    </row>
    <row r="266" spans="1:7">
      <c r="A266" s="612" t="s">
        <v>125</v>
      </c>
      <c r="B266" s="612" t="s">
        <v>8</v>
      </c>
      <c r="C266" s="840">
        <v>73.5</v>
      </c>
      <c r="D266" s="838" t="s">
        <v>9</v>
      </c>
      <c r="E266" s="839">
        <v>17628.016110227749</v>
      </c>
      <c r="F266" s="839">
        <f>E266*C266</f>
        <v>1295659.1841017394</v>
      </c>
      <c r="G266" s="865" t="s">
        <v>126</v>
      </c>
    </row>
    <row r="267" spans="1:7">
      <c r="A267" s="612" t="s">
        <v>125</v>
      </c>
      <c r="B267" s="612" t="s">
        <v>12</v>
      </c>
      <c r="C267" s="840">
        <v>1</v>
      </c>
      <c r="D267" s="838" t="s">
        <v>13</v>
      </c>
      <c r="E267" s="839">
        <v>1213395.1089206804</v>
      </c>
      <c r="F267" s="839">
        <f>E267*C267</f>
        <v>1213395.1089206804</v>
      </c>
      <c r="G267" s="865" t="s">
        <v>126</v>
      </c>
    </row>
    <row r="268" spans="1:7">
      <c r="A268" s="612" t="s">
        <v>125</v>
      </c>
      <c r="B268" s="612" t="s">
        <v>15</v>
      </c>
      <c r="C268" s="840">
        <v>107</v>
      </c>
      <c r="D268" s="838" t="s">
        <v>9</v>
      </c>
      <c r="E268" s="839">
        <v>9704.5206795968697</v>
      </c>
      <c r="F268" s="839">
        <f>E268*C268</f>
        <v>1038383.7127168651</v>
      </c>
      <c r="G268" s="865" t="s">
        <v>126</v>
      </c>
    </row>
    <row r="269" spans="1:7">
      <c r="A269" s="612" t="s">
        <v>125</v>
      </c>
      <c r="B269" s="861" t="s">
        <v>17</v>
      </c>
      <c r="C269" s="840">
        <v>1</v>
      </c>
      <c r="D269" s="838" t="s">
        <v>13</v>
      </c>
      <c r="E269" s="839">
        <v>284665.93993484147</v>
      </c>
      <c r="F269" s="839">
        <f>E269*C269</f>
        <v>284665.93993484147</v>
      </c>
      <c r="G269" s="865" t="s">
        <v>126</v>
      </c>
    </row>
    <row r="270" spans="1:7">
      <c r="A270" s="612" t="s">
        <v>125</v>
      </c>
      <c r="B270" s="612" t="s">
        <v>19</v>
      </c>
      <c r="C270" s="840">
        <v>150</v>
      </c>
      <c r="D270" s="838" t="s">
        <v>9</v>
      </c>
      <c r="E270" s="839">
        <v>770.34433955233214</v>
      </c>
      <c r="F270" s="839">
        <f>E270*C270</f>
        <v>115551.65093284982</v>
      </c>
      <c r="G270" s="865" t="s">
        <v>126</v>
      </c>
    </row>
    <row r="271" spans="1:7">
      <c r="A271" s="612" t="s">
        <v>125</v>
      </c>
      <c r="B271" s="612" t="s">
        <v>21</v>
      </c>
      <c r="C271" s="840">
        <v>28</v>
      </c>
      <c r="D271" s="838" t="s">
        <v>9</v>
      </c>
      <c r="E271" s="839">
        <v>3465.2650532849784</v>
      </c>
      <c r="F271" s="839">
        <f>E271*C271</f>
        <v>97027.421491979389</v>
      </c>
      <c r="G271" s="865" t="s">
        <v>126</v>
      </c>
    </row>
    <row r="272" spans="1:7">
      <c r="A272" s="612" t="s">
        <v>125</v>
      </c>
      <c r="B272" s="612" t="s">
        <v>23</v>
      </c>
      <c r="C272" s="840">
        <v>18</v>
      </c>
      <c r="D272" s="838" t="s">
        <v>9</v>
      </c>
      <c r="E272" s="839">
        <v>5308.6426927995235</v>
      </c>
      <c r="F272" s="839">
        <f>E272*C272</f>
        <v>95555.568470391416</v>
      </c>
      <c r="G272" s="865" t="s">
        <v>126</v>
      </c>
    </row>
    <row r="273" spans="1:7">
      <c r="A273" s="612" t="s">
        <v>125</v>
      </c>
      <c r="B273" s="612" t="s">
        <v>29</v>
      </c>
      <c r="C273" s="840">
        <v>55</v>
      </c>
      <c r="D273" s="838" t="s">
        <v>9</v>
      </c>
      <c r="E273" s="839">
        <v>4660.6127006696488</v>
      </c>
      <c r="F273" s="839">
        <f>E273*C273</f>
        <v>256333.69853683069</v>
      </c>
      <c r="G273" s="865" t="s">
        <v>126</v>
      </c>
    </row>
    <row r="274" spans="1:7">
      <c r="A274" s="612" t="s">
        <v>125</v>
      </c>
      <c r="B274" s="612" t="s">
        <v>31</v>
      </c>
      <c r="C274" s="840">
        <v>40</v>
      </c>
      <c r="D274" s="838" t="s">
        <v>9</v>
      </c>
      <c r="E274" s="839">
        <v>3314.7199764384945</v>
      </c>
      <c r="F274" s="839">
        <f>E274*C274</f>
        <v>132588.79905753979</v>
      </c>
      <c r="G274" s="865" t="s">
        <v>126</v>
      </c>
    </row>
    <row r="275" spans="1:7">
      <c r="A275" s="612" t="s">
        <v>125</v>
      </c>
      <c r="B275" s="612" t="s">
        <v>35</v>
      </c>
      <c r="C275" s="842">
        <v>96</v>
      </c>
      <c r="D275" s="838" t="s">
        <v>9</v>
      </c>
      <c r="E275" s="839">
        <v>1993.3011409578826</v>
      </c>
      <c r="F275" s="839">
        <f>E275*C275</f>
        <v>191356.90953195671</v>
      </c>
      <c r="G275" s="865" t="s">
        <v>126</v>
      </c>
    </row>
    <row r="276" spans="1:7">
      <c r="A276" s="612" t="s">
        <v>125</v>
      </c>
      <c r="B276" s="612" t="s">
        <v>63</v>
      </c>
      <c r="C276" s="840">
        <v>5</v>
      </c>
      <c r="D276" s="838" t="s">
        <v>64</v>
      </c>
      <c r="E276" s="839">
        <v>80668</v>
      </c>
      <c r="F276" s="839">
        <f>E276*C276</f>
        <v>403340</v>
      </c>
      <c r="G276" s="865" t="s">
        <v>126</v>
      </c>
    </row>
    <row r="277" spans="1:7">
      <c r="A277" s="612" t="s">
        <v>125</v>
      </c>
      <c r="B277" s="612" t="s">
        <v>37</v>
      </c>
      <c r="C277" s="840">
        <v>26</v>
      </c>
      <c r="D277" s="838" t="s">
        <v>9</v>
      </c>
      <c r="E277" s="839">
        <v>4318.151927557371</v>
      </c>
      <c r="F277" s="839">
        <f>E277*C277</f>
        <v>112271.95011649164</v>
      </c>
      <c r="G277" s="865" t="s">
        <v>126</v>
      </c>
    </row>
    <row r="278" spans="1:7">
      <c r="A278" s="612" t="s">
        <v>125</v>
      </c>
      <c r="B278" s="612" t="s">
        <v>39</v>
      </c>
      <c r="C278" s="840">
        <v>200</v>
      </c>
      <c r="D278" s="838" t="s">
        <v>9</v>
      </c>
      <c r="E278" s="839">
        <v>603.40089704241223</v>
      </c>
      <c r="F278" s="839">
        <f>E278*C278</f>
        <v>120680.17940848245</v>
      </c>
      <c r="G278" s="865" t="s">
        <v>126</v>
      </c>
    </row>
    <row r="279" spans="1:7">
      <c r="A279" s="612" t="s">
        <v>125</v>
      </c>
      <c r="B279" s="612" t="s">
        <v>83</v>
      </c>
      <c r="C279" s="840">
        <v>175</v>
      </c>
      <c r="D279" s="838" t="s">
        <v>9</v>
      </c>
      <c r="E279" s="839">
        <v>2690.3350823412711</v>
      </c>
      <c r="F279" s="839">
        <f>E279*C279</f>
        <v>470808.63940972247</v>
      </c>
      <c r="G279" s="865" t="s">
        <v>126</v>
      </c>
    </row>
    <row r="280" spans="1:7">
      <c r="A280" s="612" t="s">
        <v>125</v>
      </c>
      <c r="B280" s="612" t="s">
        <v>41</v>
      </c>
      <c r="C280" s="840">
        <v>12</v>
      </c>
      <c r="D280" s="838" t="s">
        <v>9</v>
      </c>
      <c r="E280" s="839">
        <v>5704.1926090764136</v>
      </c>
      <c r="F280" s="839">
        <f>E280*C280</f>
        <v>68450.311308916964</v>
      </c>
      <c r="G280" s="865" t="s">
        <v>126</v>
      </c>
    </row>
    <row r="281" spans="1:7">
      <c r="A281" s="612" t="s">
        <v>125</v>
      </c>
      <c r="B281" s="612" t="s">
        <v>47</v>
      </c>
      <c r="C281" s="840">
        <v>100</v>
      </c>
      <c r="D281" s="838" t="s">
        <v>9</v>
      </c>
      <c r="E281" s="839">
        <v>1046.875</v>
      </c>
      <c r="F281" s="839">
        <f>E281*C281</f>
        <v>104687.5</v>
      </c>
      <c r="G281" s="865" t="s">
        <v>126</v>
      </c>
    </row>
    <row r="282" spans="1:7">
      <c r="A282" s="612" t="s">
        <v>125</v>
      </c>
      <c r="B282" s="612" t="s">
        <v>49</v>
      </c>
      <c r="C282" s="840">
        <v>35</v>
      </c>
      <c r="D282" s="838" t="s">
        <v>9</v>
      </c>
      <c r="E282" s="839">
        <v>6008.9289574156746</v>
      </c>
      <c r="F282" s="839">
        <f>E282*C282</f>
        <v>210312.51350954862</v>
      </c>
      <c r="G282" s="865" t="s">
        <v>126</v>
      </c>
    </row>
    <row r="283" spans="1:7">
      <c r="A283" s="612" t="s">
        <v>125</v>
      </c>
      <c r="B283" s="612" t="s">
        <v>51</v>
      </c>
      <c r="C283" s="840">
        <v>33</v>
      </c>
      <c r="D283" s="838" t="s">
        <v>9</v>
      </c>
      <c r="E283" s="839">
        <v>2615</v>
      </c>
      <c r="F283" s="839">
        <f>E283*C283</f>
        <v>86295</v>
      </c>
      <c r="G283" s="865" t="s">
        <v>126</v>
      </c>
    </row>
    <row r="284" spans="1:7">
      <c r="A284" s="612" t="s">
        <v>125</v>
      </c>
      <c r="B284" s="612" t="s">
        <v>53</v>
      </c>
      <c r="C284" s="840">
        <v>261</v>
      </c>
      <c r="D284" s="838" t="s">
        <v>9</v>
      </c>
      <c r="E284" s="839">
        <v>414.06</v>
      </c>
      <c r="F284" s="839">
        <f>E284*C284</f>
        <v>108069.66</v>
      </c>
      <c r="G284" s="865" t="s">
        <v>126</v>
      </c>
    </row>
    <row r="285" spans="1:7">
      <c r="A285" s="612" t="s">
        <v>125</v>
      </c>
      <c r="B285" s="612" t="s">
        <v>55</v>
      </c>
      <c r="C285" s="840">
        <v>150</v>
      </c>
      <c r="D285" s="838" t="s">
        <v>9</v>
      </c>
      <c r="E285" s="839">
        <v>656.93</v>
      </c>
      <c r="F285" s="839">
        <f>E285*C285</f>
        <v>98539.499999999985</v>
      </c>
      <c r="G285" s="865" t="s">
        <v>126</v>
      </c>
    </row>
    <row r="286" spans="1:7" ht="28.8">
      <c r="A286" s="612" t="s">
        <v>127</v>
      </c>
      <c r="B286" s="612" t="s">
        <v>8</v>
      </c>
      <c r="C286" s="840">
        <v>33.599999999999994</v>
      </c>
      <c r="D286" s="838" t="s">
        <v>9</v>
      </c>
      <c r="E286" s="839">
        <v>17628.016110227749</v>
      </c>
      <c r="F286" s="839">
        <f>E286*C286</f>
        <v>592301.34130365227</v>
      </c>
      <c r="G286" s="866" t="s">
        <v>129</v>
      </c>
    </row>
    <row r="287" spans="1:7" ht="28.8">
      <c r="A287" s="612" t="s">
        <v>127</v>
      </c>
      <c r="B287" s="612" t="s">
        <v>12</v>
      </c>
      <c r="C287" s="840">
        <v>1</v>
      </c>
      <c r="D287" s="838" t="s">
        <v>13</v>
      </c>
      <c r="E287" s="839">
        <v>440700.40275569505</v>
      </c>
      <c r="F287" s="839">
        <f>E287*C287</f>
        <v>440700.40275569505</v>
      </c>
      <c r="G287" s="866" t="s">
        <v>129</v>
      </c>
    </row>
    <row r="288" spans="1:7" ht="28.8">
      <c r="A288" s="612" t="s">
        <v>127</v>
      </c>
      <c r="B288" s="612" t="s">
        <v>15</v>
      </c>
      <c r="C288" s="840">
        <v>91</v>
      </c>
      <c r="D288" s="838" t="s">
        <v>9</v>
      </c>
      <c r="E288" s="839">
        <v>9704.5206795968697</v>
      </c>
      <c r="F288" s="839">
        <f>E288*C288</f>
        <v>883111.3818433152</v>
      </c>
      <c r="G288" s="866" t="s">
        <v>129</v>
      </c>
    </row>
    <row r="289" spans="1:7" ht="28.8">
      <c r="A289" s="612" t="s">
        <v>127</v>
      </c>
      <c r="B289" s="861" t="s">
        <v>17</v>
      </c>
      <c r="C289" s="840">
        <v>1</v>
      </c>
      <c r="D289" s="838" t="s">
        <v>13</v>
      </c>
      <c r="E289" s="839">
        <v>499782.81499923876</v>
      </c>
      <c r="F289" s="839">
        <f>E289*C289</f>
        <v>499782.81499923876</v>
      </c>
      <c r="G289" s="866" t="s">
        <v>129</v>
      </c>
    </row>
    <row r="290" spans="1:7" ht="28.8">
      <c r="A290" s="612" t="s">
        <v>127</v>
      </c>
      <c r="B290" s="612" t="s">
        <v>21</v>
      </c>
      <c r="C290" s="840">
        <v>6</v>
      </c>
      <c r="D290" s="838" t="s">
        <v>9</v>
      </c>
      <c r="E290" s="839">
        <v>3465.2650532849784</v>
      </c>
      <c r="F290" s="839">
        <f>E290*C290</f>
        <v>20791.590319709871</v>
      </c>
      <c r="G290" s="866" t="s">
        <v>129</v>
      </c>
    </row>
    <row r="291" spans="1:7" ht="28.8">
      <c r="A291" s="612" t="s">
        <v>127</v>
      </c>
      <c r="B291" s="612" t="s">
        <v>21</v>
      </c>
      <c r="C291" s="840">
        <v>4</v>
      </c>
      <c r="D291" s="838" t="s">
        <v>9</v>
      </c>
      <c r="E291" s="839">
        <v>3465.2650532849784</v>
      </c>
      <c r="F291" s="839">
        <f>E291*C291</f>
        <v>13861.060213139914</v>
      </c>
      <c r="G291" s="866" t="s">
        <v>129</v>
      </c>
    </row>
    <row r="292" spans="1:7" ht="28.8">
      <c r="A292" s="612" t="s">
        <v>127</v>
      </c>
      <c r="B292" s="612" t="s">
        <v>23</v>
      </c>
      <c r="C292" s="840">
        <v>18</v>
      </c>
      <c r="D292" s="838" t="s">
        <v>9</v>
      </c>
      <c r="E292" s="839">
        <v>5308.6426927995235</v>
      </c>
      <c r="F292" s="839">
        <f>E292*C292</f>
        <v>95555.568470391416</v>
      </c>
      <c r="G292" s="866" t="s">
        <v>129</v>
      </c>
    </row>
    <row r="293" spans="1:7" ht="28.8">
      <c r="A293" s="612" t="s">
        <v>127</v>
      </c>
      <c r="B293" s="612" t="s">
        <v>23</v>
      </c>
      <c r="C293" s="840">
        <v>4</v>
      </c>
      <c r="D293" s="838" t="s">
        <v>9</v>
      </c>
      <c r="E293" s="839">
        <v>5308.6426927995235</v>
      </c>
      <c r="F293" s="839">
        <f>E293*C293</f>
        <v>21234.570771198094</v>
      </c>
      <c r="G293" s="866" t="s">
        <v>129</v>
      </c>
    </row>
    <row r="294" spans="1:7" ht="28.8">
      <c r="A294" s="612" t="s">
        <v>127</v>
      </c>
      <c r="B294" s="612" t="s">
        <v>25</v>
      </c>
      <c r="C294" s="840">
        <v>150</v>
      </c>
      <c r="D294" s="838" t="s">
        <v>9</v>
      </c>
      <c r="E294" s="839">
        <v>2017.6500876823256</v>
      </c>
      <c r="F294" s="839">
        <f>E294*C294</f>
        <v>302647.51315234887</v>
      </c>
      <c r="G294" s="866" t="s">
        <v>129</v>
      </c>
    </row>
    <row r="295" spans="1:7" ht="28.8">
      <c r="A295" s="612" t="s">
        <v>127</v>
      </c>
      <c r="B295" s="612" t="s">
        <v>25</v>
      </c>
      <c r="C295" s="840">
        <v>140</v>
      </c>
      <c r="D295" s="838" t="s">
        <v>9</v>
      </c>
      <c r="E295" s="839">
        <v>2017.6500876823256</v>
      </c>
      <c r="F295" s="839">
        <f>E295*C295</f>
        <v>282471.0122755256</v>
      </c>
      <c r="G295" s="866" t="s">
        <v>129</v>
      </c>
    </row>
    <row r="296" spans="1:7" ht="28.8">
      <c r="A296" s="612" t="s">
        <v>127</v>
      </c>
      <c r="B296" s="612" t="s">
        <v>27</v>
      </c>
      <c r="C296" s="840">
        <v>1501</v>
      </c>
      <c r="D296" s="838" t="s">
        <v>9</v>
      </c>
      <c r="E296" s="839">
        <v>490.89892940848245</v>
      </c>
      <c r="F296" s="839">
        <f>E296*C296</f>
        <v>736839.29304213217</v>
      </c>
      <c r="G296" s="866" t="s">
        <v>129</v>
      </c>
    </row>
    <row r="297" spans="1:7" ht="28.8">
      <c r="A297" s="612" t="s">
        <v>127</v>
      </c>
      <c r="B297" s="612" t="s">
        <v>27</v>
      </c>
      <c r="C297" s="840">
        <v>704</v>
      </c>
      <c r="D297" s="838" t="s">
        <v>9</v>
      </c>
      <c r="E297" s="839">
        <v>490.89892940848245</v>
      </c>
      <c r="F297" s="839">
        <f>E297*C297</f>
        <v>345592.84630357166</v>
      </c>
      <c r="G297" s="866" t="s">
        <v>129</v>
      </c>
    </row>
    <row r="298" spans="1:7" ht="28.8">
      <c r="A298" s="612" t="s">
        <v>127</v>
      </c>
      <c r="B298" s="612" t="s">
        <v>29</v>
      </c>
      <c r="C298" s="840">
        <v>55</v>
      </c>
      <c r="D298" s="838" t="s">
        <v>9</v>
      </c>
      <c r="E298" s="839">
        <v>4660.6127006696488</v>
      </c>
      <c r="F298" s="839">
        <f>E298*C298</f>
        <v>256333.69853683069</v>
      </c>
      <c r="G298" s="866" t="s">
        <v>129</v>
      </c>
    </row>
    <row r="299" spans="1:7" ht="28.8">
      <c r="A299" s="612" t="s">
        <v>127</v>
      </c>
      <c r="B299" s="612" t="s">
        <v>29</v>
      </c>
      <c r="C299" s="840">
        <v>70</v>
      </c>
      <c r="D299" s="838" t="s">
        <v>9</v>
      </c>
      <c r="E299" s="839">
        <v>4660.6127006696488</v>
      </c>
      <c r="F299" s="839">
        <f>E299*C299</f>
        <v>326242.88904687541</v>
      </c>
      <c r="G299" s="866" t="s">
        <v>129</v>
      </c>
    </row>
    <row r="300" spans="1:7" ht="28.8">
      <c r="A300" s="612" t="s">
        <v>127</v>
      </c>
      <c r="B300" s="612" t="s">
        <v>31</v>
      </c>
      <c r="C300" s="840">
        <v>45</v>
      </c>
      <c r="D300" s="838" t="s">
        <v>9</v>
      </c>
      <c r="E300" s="839">
        <v>3314.7199764384945</v>
      </c>
      <c r="F300" s="839">
        <f>E300*C300</f>
        <v>149162.39893973226</v>
      </c>
      <c r="G300" s="866" t="s">
        <v>129</v>
      </c>
    </row>
    <row r="301" spans="1:7" ht="28.8">
      <c r="A301" s="612" t="s">
        <v>127</v>
      </c>
      <c r="B301" s="612" t="s">
        <v>31</v>
      </c>
      <c r="C301" s="840">
        <v>50</v>
      </c>
      <c r="D301" s="838" t="s">
        <v>9</v>
      </c>
      <c r="E301" s="839">
        <v>3314.7199764384945</v>
      </c>
      <c r="F301" s="839">
        <f>E301*C301</f>
        <v>165735.99882192473</v>
      </c>
      <c r="G301" s="866" t="s">
        <v>129</v>
      </c>
    </row>
    <row r="302" spans="1:7" ht="28.8">
      <c r="A302" s="612" t="s">
        <v>127</v>
      </c>
      <c r="B302" s="612" t="s">
        <v>33</v>
      </c>
      <c r="C302" s="840">
        <v>150</v>
      </c>
      <c r="D302" s="838" t="s">
        <v>9</v>
      </c>
      <c r="E302" s="839">
        <v>3187.5534161396367</v>
      </c>
      <c r="F302" s="839">
        <f>E302*C302</f>
        <v>478133.01242094551</v>
      </c>
      <c r="G302" s="866" t="s">
        <v>129</v>
      </c>
    </row>
    <row r="303" spans="1:7" ht="28.8">
      <c r="A303" s="612" t="s">
        <v>127</v>
      </c>
      <c r="B303" s="612" t="s">
        <v>33</v>
      </c>
      <c r="C303" s="840">
        <v>220</v>
      </c>
      <c r="D303" s="838" t="s">
        <v>9</v>
      </c>
      <c r="E303" s="839">
        <v>3187.5534161396367</v>
      </c>
      <c r="F303" s="839">
        <f>E303*C303</f>
        <v>701261.75155072007</v>
      </c>
      <c r="G303" s="866" t="s">
        <v>129</v>
      </c>
    </row>
    <row r="304" spans="1:7" ht="28.8">
      <c r="A304" s="612" t="s">
        <v>127</v>
      </c>
      <c r="B304" s="612" t="s">
        <v>35</v>
      </c>
      <c r="C304" s="840">
        <v>67</v>
      </c>
      <c r="D304" s="838" t="s">
        <v>9</v>
      </c>
      <c r="E304" s="839">
        <v>1993.3011409578826</v>
      </c>
      <c r="F304" s="839">
        <f>E304*C304</f>
        <v>133551.17644417813</v>
      </c>
      <c r="G304" s="866" t="s">
        <v>129</v>
      </c>
    </row>
    <row r="305" spans="1:7" ht="28.8">
      <c r="A305" s="612" t="s">
        <v>127</v>
      </c>
      <c r="B305" s="612" t="s">
        <v>35</v>
      </c>
      <c r="C305" s="840">
        <v>41</v>
      </c>
      <c r="D305" s="838" t="s">
        <v>9</v>
      </c>
      <c r="E305" s="839">
        <v>1993.3011409578826</v>
      </c>
      <c r="F305" s="839">
        <f>E305*C305</f>
        <v>81725.346779273183</v>
      </c>
      <c r="G305" s="866" t="s">
        <v>129</v>
      </c>
    </row>
    <row r="306" spans="1:7" ht="28.8">
      <c r="A306" s="612" t="s">
        <v>127</v>
      </c>
      <c r="B306" s="612" t="s">
        <v>37</v>
      </c>
      <c r="C306" s="840">
        <v>16</v>
      </c>
      <c r="D306" s="838" t="s">
        <v>9</v>
      </c>
      <c r="E306" s="839">
        <v>4318.151927557371</v>
      </c>
      <c r="F306" s="839">
        <f>E306*C306</f>
        <v>69090.430840917936</v>
      </c>
      <c r="G306" s="866" t="s">
        <v>129</v>
      </c>
    </row>
    <row r="307" spans="1:7" ht="28.8">
      <c r="A307" s="612" t="s">
        <v>127</v>
      </c>
      <c r="B307" s="612" t="s">
        <v>37</v>
      </c>
      <c r="C307" s="840">
        <v>16</v>
      </c>
      <c r="D307" s="838" t="s">
        <v>9</v>
      </c>
      <c r="E307" s="839">
        <v>4318.151927557371</v>
      </c>
      <c r="F307" s="839">
        <f>E307*C307</f>
        <v>69090.430840917936</v>
      </c>
      <c r="G307" s="866" t="s">
        <v>129</v>
      </c>
    </row>
    <row r="308" spans="1:7" ht="28.8">
      <c r="A308" s="612" t="s">
        <v>127</v>
      </c>
      <c r="B308" s="612" t="s">
        <v>39</v>
      </c>
      <c r="C308" s="840">
        <v>200</v>
      </c>
      <c r="D308" s="838" t="s">
        <v>9</v>
      </c>
      <c r="E308" s="839">
        <v>603.40089704241223</v>
      </c>
      <c r="F308" s="839">
        <f>E308*C308</f>
        <v>120680.17940848245</v>
      </c>
      <c r="G308" s="866" t="s">
        <v>129</v>
      </c>
    </row>
    <row r="309" spans="1:7" ht="28.8">
      <c r="A309" s="612" t="s">
        <v>127</v>
      </c>
      <c r="B309" s="612" t="s">
        <v>39</v>
      </c>
      <c r="C309" s="840">
        <v>150</v>
      </c>
      <c r="D309" s="838" t="s">
        <v>9</v>
      </c>
      <c r="E309" s="839">
        <v>603.40089704241223</v>
      </c>
      <c r="F309" s="839">
        <f>E309*C309</f>
        <v>90510.134556361838</v>
      </c>
      <c r="G309" s="866" t="s">
        <v>129</v>
      </c>
    </row>
    <row r="310" spans="1:7" ht="28.8">
      <c r="A310" s="612" t="s">
        <v>127</v>
      </c>
      <c r="B310" s="612" t="s">
        <v>83</v>
      </c>
      <c r="C310" s="840">
        <v>125</v>
      </c>
      <c r="D310" s="838" t="s">
        <v>9</v>
      </c>
      <c r="E310" s="839">
        <v>2690.3350823412711</v>
      </c>
      <c r="F310" s="839">
        <f>E310*C310</f>
        <v>336291.88529265887</v>
      </c>
      <c r="G310" s="866" t="s">
        <v>129</v>
      </c>
    </row>
    <row r="311" spans="1:7" ht="28.8">
      <c r="A311" s="612" t="s">
        <v>127</v>
      </c>
      <c r="B311" s="612" t="s">
        <v>41</v>
      </c>
      <c r="C311" s="840">
        <v>10</v>
      </c>
      <c r="D311" s="838" t="s">
        <v>9</v>
      </c>
      <c r="E311" s="839">
        <v>5704.1926090764136</v>
      </c>
      <c r="F311" s="839">
        <f>E311*C311</f>
        <v>57041.926090764136</v>
      </c>
      <c r="G311" s="866" t="s">
        <v>129</v>
      </c>
    </row>
    <row r="312" spans="1:7" ht="28.8">
      <c r="A312" s="612" t="s">
        <v>127</v>
      </c>
      <c r="B312" s="612" t="s">
        <v>41</v>
      </c>
      <c r="C312" s="840">
        <v>16</v>
      </c>
      <c r="D312" s="838" t="s">
        <v>9</v>
      </c>
      <c r="E312" s="839">
        <v>5704.1926090764136</v>
      </c>
      <c r="F312" s="839">
        <f>E312*C312</f>
        <v>91267.081745222618</v>
      </c>
      <c r="G312" s="866" t="s">
        <v>129</v>
      </c>
    </row>
    <row r="313" spans="1:7" ht="28.8">
      <c r="A313" s="612" t="s">
        <v>127</v>
      </c>
      <c r="B313" s="612" t="s">
        <v>43</v>
      </c>
      <c r="C313" s="840">
        <v>24</v>
      </c>
      <c r="D313" s="838" t="s">
        <v>9</v>
      </c>
      <c r="E313" s="839">
        <v>5845.2857326537705</v>
      </c>
      <c r="F313" s="839">
        <f>E313*C313</f>
        <v>140286.85758369049</v>
      </c>
      <c r="G313" s="866" t="s">
        <v>129</v>
      </c>
    </row>
    <row r="314" spans="1:7" ht="28.8">
      <c r="A314" s="612" t="s">
        <v>127</v>
      </c>
      <c r="B314" s="612" t="s">
        <v>43</v>
      </c>
      <c r="C314" s="840">
        <v>24</v>
      </c>
      <c r="D314" s="838" t="s">
        <v>9</v>
      </c>
      <c r="E314" s="839">
        <v>5845.2857326537705</v>
      </c>
      <c r="F314" s="839">
        <f>E314*C314</f>
        <v>140286.85758369049</v>
      </c>
      <c r="G314" s="866" t="s">
        <v>129</v>
      </c>
    </row>
    <row r="315" spans="1:7" ht="28.8">
      <c r="A315" s="612" t="s">
        <v>127</v>
      </c>
      <c r="B315" s="612" t="s">
        <v>45</v>
      </c>
      <c r="C315" s="840">
        <v>740</v>
      </c>
      <c r="D315" s="838" t="s">
        <v>9</v>
      </c>
      <c r="E315" s="839">
        <v>332.57658823164718</v>
      </c>
      <c r="F315" s="839">
        <f>E315*C315</f>
        <v>246106.67529141891</v>
      </c>
      <c r="G315" s="866" t="s">
        <v>129</v>
      </c>
    </row>
    <row r="316" spans="1:7" ht="28.8">
      <c r="A316" s="612" t="s">
        <v>127</v>
      </c>
      <c r="B316" s="612" t="s">
        <v>45</v>
      </c>
      <c r="C316" s="840">
        <v>720</v>
      </c>
      <c r="D316" s="838" t="s">
        <v>9</v>
      </c>
      <c r="E316" s="839">
        <v>332.57658823164718</v>
      </c>
      <c r="F316" s="839">
        <f>E316*C316</f>
        <v>239455.14352678598</v>
      </c>
      <c r="G316" s="866" t="s">
        <v>129</v>
      </c>
    </row>
    <row r="317" spans="1:7" ht="28.8">
      <c r="A317" s="612" t="s">
        <v>127</v>
      </c>
      <c r="B317" s="612" t="s">
        <v>47</v>
      </c>
      <c r="C317" s="840">
        <v>120</v>
      </c>
      <c r="D317" s="838" t="s">
        <v>9</v>
      </c>
      <c r="E317" s="839">
        <v>1046.875</v>
      </c>
      <c r="F317" s="839">
        <f>E317*C317</f>
        <v>125625</v>
      </c>
      <c r="G317" s="866" t="s">
        <v>129</v>
      </c>
    </row>
    <row r="318" spans="1:7" ht="28.8">
      <c r="A318" s="612" t="s">
        <v>127</v>
      </c>
      <c r="B318" s="612" t="s">
        <v>47</v>
      </c>
      <c r="C318" s="840">
        <v>100</v>
      </c>
      <c r="D318" s="838" t="s">
        <v>9</v>
      </c>
      <c r="E318" s="839">
        <v>1046.875</v>
      </c>
      <c r="F318" s="839">
        <f>E318*C318</f>
        <v>104687.5</v>
      </c>
      <c r="G318" s="866" t="s">
        <v>129</v>
      </c>
    </row>
    <row r="319" spans="1:7" ht="28.8">
      <c r="A319" s="612" t="s">
        <v>127</v>
      </c>
      <c r="B319" s="612" t="s">
        <v>49</v>
      </c>
      <c r="C319" s="840">
        <v>35</v>
      </c>
      <c r="D319" s="838" t="s">
        <v>9</v>
      </c>
      <c r="E319" s="839">
        <v>6008.9289574156746</v>
      </c>
      <c r="F319" s="839">
        <f>E319*C319</f>
        <v>210312.51350954862</v>
      </c>
      <c r="G319" s="866" t="s">
        <v>129</v>
      </c>
    </row>
    <row r="320" spans="1:7" ht="28.8">
      <c r="A320" s="612" t="s">
        <v>127</v>
      </c>
      <c r="B320" s="612" t="s">
        <v>51</v>
      </c>
      <c r="C320" s="840">
        <v>34</v>
      </c>
      <c r="D320" s="838" t="s">
        <v>9</v>
      </c>
      <c r="E320" s="839">
        <v>2615</v>
      </c>
      <c r="F320" s="839">
        <f>E320*C320</f>
        <v>88910</v>
      </c>
      <c r="G320" s="866" t="s">
        <v>129</v>
      </c>
    </row>
    <row r="321" spans="1:7" ht="28.8">
      <c r="A321" s="612" t="s">
        <v>127</v>
      </c>
      <c r="B321" s="612" t="s">
        <v>53</v>
      </c>
      <c r="C321" s="840">
        <v>183</v>
      </c>
      <c r="D321" s="838" t="s">
        <v>9</v>
      </c>
      <c r="E321" s="839">
        <v>414.06</v>
      </c>
      <c r="F321" s="839">
        <f>E321*C321</f>
        <v>75772.98</v>
      </c>
      <c r="G321" s="866" t="s">
        <v>129</v>
      </c>
    </row>
    <row r="322" spans="1:7" ht="28.8">
      <c r="A322" s="612" t="s">
        <v>127</v>
      </c>
      <c r="B322" s="612" t="s">
        <v>53</v>
      </c>
      <c r="C322" s="841">
        <v>111</v>
      </c>
      <c r="D322" s="838" t="s">
        <v>9</v>
      </c>
      <c r="E322" s="839">
        <v>414.06</v>
      </c>
      <c r="F322" s="839">
        <f>E322*C322</f>
        <v>45960.66</v>
      </c>
      <c r="G322" s="866" t="s">
        <v>129</v>
      </c>
    </row>
    <row r="323" spans="1:7">
      <c r="A323" s="612" t="s">
        <v>130</v>
      </c>
      <c r="B323" s="612" t="s">
        <v>8</v>
      </c>
      <c r="C323" s="840">
        <v>38.5</v>
      </c>
      <c r="D323" s="838" t="s">
        <v>9</v>
      </c>
      <c r="E323" s="839">
        <v>17628.016110227749</v>
      </c>
      <c r="F323" s="839">
        <f>E323*C323</f>
        <v>678678.62024376832</v>
      </c>
      <c r="G323" s="865" t="s">
        <v>131</v>
      </c>
    </row>
    <row r="324" spans="1:7">
      <c r="A324" s="612" t="s">
        <v>130</v>
      </c>
      <c r="B324" s="612" t="s">
        <v>12</v>
      </c>
      <c r="C324" s="840">
        <v>1</v>
      </c>
      <c r="D324" s="838" t="s">
        <v>13</v>
      </c>
      <c r="E324" s="839">
        <v>760942.69542483345</v>
      </c>
      <c r="F324" s="839">
        <f>E324*C324</f>
        <v>760942.69542483345</v>
      </c>
      <c r="G324" s="865" t="s">
        <v>131</v>
      </c>
    </row>
    <row r="325" spans="1:7">
      <c r="A325" s="612" t="s">
        <v>130</v>
      </c>
      <c r="B325" s="612" t="s">
        <v>15</v>
      </c>
      <c r="C325" s="840">
        <v>74</v>
      </c>
      <c r="D325" s="838" t="s">
        <v>9</v>
      </c>
      <c r="E325" s="839">
        <v>9704.5206795968697</v>
      </c>
      <c r="F325" s="839">
        <f>E325*C325</f>
        <v>718134.53029016836</v>
      </c>
      <c r="G325" s="865" t="s">
        <v>131</v>
      </c>
    </row>
    <row r="326" spans="1:7">
      <c r="A326" s="612" t="s">
        <v>130</v>
      </c>
      <c r="B326" s="861" t="s">
        <v>17</v>
      </c>
      <c r="C326" s="840">
        <v>1</v>
      </c>
      <c r="D326" s="838" t="s">
        <v>13</v>
      </c>
      <c r="E326" s="839">
        <v>171446.53200621135</v>
      </c>
      <c r="F326" s="839">
        <f>E326*C326</f>
        <v>171446.53200621135</v>
      </c>
      <c r="G326" s="865" t="s">
        <v>131</v>
      </c>
    </row>
    <row r="327" spans="1:7">
      <c r="A327" s="612" t="s">
        <v>130</v>
      </c>
      <c r="B327" s="612" t="s">
        <v>19</v>
      </c>
      <c r="C327" s="840">
        <v>150</v>
      </c>
      <c r="D327" s="838" t="s">
        <v>9</v>
      </c>
      <c r="E327" s="839">
        <v>770.34433955233214</v>
      </c>
      <c r="F327" s="839">
        <f>E327*C327</f>
        <v>115551.65093284982</v>
      </c>
      <c r="G327" s="865" t="s">
        <v>131</v>
      </c>
    </row>
    <row r="328" spans="1:7">
      <c r="A328" s="612" t="s">
        <v>130</v>
      </c>
      <c r="B328" s="612" t="s">
        <v>21</v>
      </c>
      <c r="C328" s="840">
        <v>16</v>
      </c>
      <c r="D328" s="838" t="s">
        <v>9</v>
      </c>
      <c r="E328" s="839">
        <v>3465.2650532849784</v>
      </c>
      <c r="F328" s="839">
        <f>E328*C328</f>
        <v>55444.240852559655</v>
      </c>
      <c r="G328" s="865" t="s">
        <v>131</v>
      </c>
    </row>
    <row r="329" spans="1:7">
      <c r="A329" s="612" t="s">
        <v>130</v>
      </c>
      <c r="B329" s="612" t="s">
        <v>23</v>
      </c>
      <c r="C329" s="840">
        <v>10</v>
      </c>
      <c r="D329" s="838" t="s">
        <v>9</v>
      </c>
      <c r="E329" s="839">
        <v>5308.6426927995235</v>
      </c>
      <c r="F329" s="839">
        <f>E329*C329</f>
        <v>53086.426927995235</v>
      </c>
      <c r="G329" s="865" t="s">
        <v>131</v>
      </c>
    </row>
    <row r="330" spans="1:7">
      <c r="A330" s="612" t="s">
        <v>130</v>
      </c>
      <c r="B330" s="612" t="s">
        <v>25</v>
      </c>
      <c r="C330" s="840">
        <v>150</v>
      </c>
      <c r="D330" s="838" t="s">
        <v>9</v>
      </c>
      <c r="E330" s="839">
        <v>2017.6500876823256</v>
      </c>
      <c r="F330" s="839">
        <f>E330*C330</f>
        <v>302647.51315234887</v>
      </c>
      <c r="G330" s="865" t="s">
        <v>131</v>
      </c>
    </row>
    <row r="331" spans="1:7">
      <c r="A331" s="612" t="s">
        <v>130</v>
      </c>
      <c r="B331" s="612" t="s">
        <v>27</v>
      </c>
      <c r="C331" s="840">
        <v>1044</v>
      </c>
      <c r="D331" s="838" t="s">
        <v>9</v>
      </c>
      <c r="E331" s="839">
        <v>490.89892940848245</v>
      </c>
      <c r="F331" s="839">
        <f>E331*C331</f>
        <v>512498.4823024557</v>
      </c>
      <c r="G331" s="865" t="s">
        <v>131</v>
      </c>
    </row>
    <row r="332" spans="1:7">
      <c r="A332" s="612" t="s">
        <v>130</v>
      </c>
      <c r="B332" s="612" t="s">
        <v>29</v>
      </c>
      <c r="C332" s="840">
        <v>50</v>
      </c>
      <c r="D332" s="838" t="s">
        <v>9</v>
      </c>
      <c r="E332" s="839">
        <v>4660.6127006696488</v>
      </c>
      <c r="F332" s="839">
        <f>E332*C332</f>
        <v>233030.63503348245</v>
      </c>
      <c r="G332" s="865" t="s">
        <v>131</v>
      </c>
    </row>
    <row r="333" spans="1:7">
      <c r="A333" s="612" t="s">
        <v>130</v>
      </c>
      <c r="B333" s="612" t="s">
        <v>31</v>
      </c>
      <c r="C333" s="840">
        <v>40</v>
      </c>
      <c r="D333" s="838" t="s">
        <v>9</v>
      </c>
      <c r="E333" s="839">
        <v>3314.7199764384945</v>
      </c>
      <c r="F333" s="839">
        <f>E333*C333</f>
        <v>132588.79905753979</v>
      </c>
      <c r="G333" s="865" t="s">
        <v>131</v>
      </c>
    </row>
    <row r="334" spans="1:7">
      <c r="A334" s="612" t="s">
        <v>130</v>
      </c>
      <c r="B334" s="612" t="s">
        <v>33</v>
      </c>
      <c r="C334" s="840">
        <v>180</v>
      </c>
      <c r="D334" s="838" t="s">
        <v>9</v>
      </c>
      <c r="E334" s="839">
        <v>3187.5534161396367</v>
      </c>
      <c r="F334" s="839">
        <f>E334*C334</f>
        <v>573759.61490513466</v>
      </c>
      <c r="G334" s="865" t="s">
        <v>131</v>
      </c>
    </row>
    <row r="335" spans="1:7">
      <c r="A335" s="612" t="s">
        <v>130</v>
      </c>
      <c r="B335" s="612" t="s">
        <v>35</v>
      </c>
      <c r="C335" s="840">
        <v>43</v>
      </c>
      <c r="D335" s="838" t="s">
        <v>9</v>
      </c>
      <c r="E335" s="839">
        <v>1993.3011409578826</v>
      </c>
      <c r="F335" s="839">
        <f>E335*C335</f>
        <v>85711.949061188949</v>
      </c>
      <c r="G335" s="865" t="s">
        <v>131</v>
      </c>
    </row>
    <row r="336" spans="1:7">
      <c r="A336" s="612" t="s">
        <v>130</v>
      </c>
      <c r="B336" s="612" t="s">
        <v>37</v>
      </c>
      <c r="C336" s="840">
        <v>11</v>
      </c>
      <c r="D336" s="838" t="s">
        <v>9</v>
      </c>
      <c r="E336" s="839">
        <v>4318.151927557371</v>
      </c>
      <c r="F336" s="839">
        <f>E336*C336</f>
        <v>47499.671203131082</v>
      </c>
      <c r="G336" s="865" t="s">
        <v>131</v>
      </c>
    </row>
    <row r="337" spans="1:7">
      <c r="A337" s="612" t="s">
        <v>130</v>
      </c>
      <c r="B337" s="612" t="s">
        <v>39</v>
      </c>
      <c r="C337" s="840">
        <v>200</v>
      </c>
      <c r="D337" s="838" t="s">
        <v>9</v>
      </c>
      <c r="E337" s="839">
        <v>603.40089704241223</v>
      </c>
      <c r="F337" s="839">
        <f>E337*C337</f>
        <v>120680.17940848245</v>
      </c>
      <c r="G337" s="865" t="s">
        <v>131</v>
      </c>
    </row>
    <row r="338" spans="1:7">
      <c r="A338" s="612" t="s">
        <v>130</v>
      </c>
      <c r="B338" s="612" t="s">
        <v>83</v>
      </c>
      <c r="C338" s="840">
        <v>125</v>
      </c>
      <c r="D338" s="838" t="s">
        <v>9</v>
      </c>
      <c r="E338" s="839">
        <v>2690.3350823412711</v>
      </c>
      <c r="F338" s="839">
        <f>E338*C338</f>
        <v>336291.88529265887</v>
      </c>
      <c r="G338" s="865" t="s">
        <v>131</v>
      </c>
    </row>
    <row r="339" spans="1:7">
      <c r="A339" s="612" t="s">
        <v>130</v>
      </c>
      <c r="B339" s="612" t="s">
        <v>41</v>
      </c>
      <c r="C339" s="840">
        <v>10</v>
      </c>
      <c r="D339" s="838" t="s">
        <v>9</v>
      </c>
      <c r="E339" s="839">
        <v>5704.1926090764136</v>
      </c>
      <c r="F339" s="839">
        <f>E339*C339</f>
        <v>57041.926090764136</v>
      </c>
      <c r="G339" s="865" t="s">
        <v>131</v>
      </c>
    </row>
    <row r="340" spans="1:7">
      <c r="A340" s="612" t="s">
        <v>130</v>
      </c>
      <c r="B340" s="612" t="s">
        <v>43</v>
      </c>
      <c r="C340" s="840">
        <v>24</v>
      </c>
      <c r="D340" s="838" t="s">
        <v>9</v>
      </c>
      <c r="E340" s="839">
        <v>5845.2857326537705</v>
      </c>
      <c r="F340" s="839">
        <f>E340*C340</f>
        <v>140286.85758369049</v>
      </c>
      <c r="G340" s="865" t="s">
        <v>131</v>
      </c>
    </row>
    <row r="341" spans="1:7">
      <c r="A341" s="612" t="s">
        <v>130</v>
      </c>
      <c r="B341" s="612" t="s">
        <v>45</v>
      </c>
      <c r="C341" s="840">
        <v>720</v>
      </c>
      <c r="D341" s="838" t="s">
        <v>9</v>
      </c>
      <c r="E341" s="839">
        <v>332.57658823164718</v>
      </c>
      <c r="F341" s="839">
        <f>E341*C341</f>
        <v>239455.14352678598</v>
      </c>
      <c r="G341" s="865" t="s">
        <v>131</v>
      </c>
    </row>
    <row r="342" spans="1:7">
      <c r="A342" s="612" t="s">
        <v>130</v>
      </c>
      <c r="B342" s="612" t="s">
        <v>47</v>
      </c>
      <c r="C342" s="840">
        <v>50</v>
      </c>
      <c r="D342" s="838" t="s">
        <v>9</v>
      </c>
      <c r="E342" s="839">
        <v>1046.875</v>
      </c>
      <c r="F342" s="839">
        <f>E342*C342</f>
        <v>52343.75</v>
      </c>
      <c r="G342" s="865" t="s">
        <v>131</v>
      </c>
    </row>
    <row r="343" spans="1:7">
      <c r="A343" s="612" t="s">
        <v>130</v>
      </c>
      <c r="B343" s="612" t="s">
        <v>49</v>
      </c>
      <c r="C343" s="840">
        <v>35</v>
      </c>
      <c r="D343" s="838" t="s">
        <v>9</v>
      </c>
      <c r="E343" s="839">
        <v>6008.9289574156746</v>
      </c>
      <c r="F343" s="839">
        <f>E343*C343</f>
        <v>210312.51350954862</v>
      </c>
      <c r="G343" s="865" t="s">
        <v>131</v>
      </c>
    </row>
    <row r="344" spans="1:7">
      <c r="A344" s="612" t="s">
        <v>130</v>
      </c>
      <c r="B344" s="612" t="s">
        <v>51</v>
      </c>
      <c r="C344" s="840">
        <v>16</v>
      </c>
      <c r="D344" s="838" t="s">
        <v>9</v>
      </c>
      <c r="E344" s="839">
        <v>2615</v>
      </c>
      <c r="F344" s="839">
        <f>E344*C344</f>
        <v>41840</v>
      </c>
      <c r="G344" s="865" t="s">
        <v>131</v>
      </c>
    </row>
    <row r="345" spans="1:7">
      <c r="A345" s="612" t="s">
        <v>130</v>
      </c>
      <c r="B345" s="612" t="s">
        <v>53</v>
      </c>
      <c r="C345" s="840">
        <v>118</v>
      </c>
      <c r="D345" s="838" t="s">
        <v>9</v>
      </c>
      <c r="E345" s="839">
        <v>414.06</v>
      </c>
      <c r="F345" s="839">
        <f>E345*C345</f>
        <v>48859.08</v>
      </c>
      <c r="G345" s="865" t="s">
        <v>131</v>
      </c>
    </row>
    <row r="346" spans="1:7">
      <c r="A346" s="612" t="s">
        <v>130</v>
      </c>
      <c r="B346" s="612" t="s">
        <v>55</v>
      </c>
      <c r="C346" s="840">
        <v>150</v>
      </c>
      <c r="D346" s="838" t="s">
        <v>9</v>
      </c>
      <c r="E346" s="839">
        <v>656.93</v>
      </c>
      <c r="F346" s="839">
        <f>E346*C346</f>
        <v>98539.499999999985</v>
      </c>
      <c r="G346" s="865" t="s">
        <v>131</v>
      </c>
    </row>
    <row r="347" spans="1:7">
      <c r="A347" s="612" t="s">
        <v>132</v>
      </c>
      <c r="B347" s="612" t="s">
        <v>8</v>
      </c>
      <c r="C347" s="840">
        <v>93</v>
      </c>
      <c r="D347" s="838" t="s">
        <v>9</v>
      </c>
      <c r="E347" s="839">
        <v>17628.016110227749</v>
      </c>
      <c r="F347" s="839">
        <f>E347*C347</f>
        <v>1639405.4982511806</v>
      </c>
      <c r="G347" s="865" t="s">
        <v>133</v>
      </c>
    </row>
    <row r="348" spans="1:7">
      <c r="A348" s="612" t="s">
        <v>132</v>
      </c>
      <c r="B348" s="612" t="s">
        <v>12</v>
      </c>
      <c r="C348" s="840">
        <v>1</v>
      </c>
      <c r="D348" s="838" t="s">
        <v>13</v>
      </c>
      <c r="E348" s="839">
        <v>1776022.623105451</v>
      </c>
      <c r="F348" s="839">
        <f>E348*C348</f>
        <v>1776022.623105451</v>
      </c>
      <c r="G348" s="865" t="s">
        <v>133</v>
      </c>
    </row>
    <row r="349" spans="1:7">
      <c r="A349" s="612" t="s">
        <v>132</v>
      </c>
      <c r="B349" s="612" t="s">
        <v>15</v>
      </c>
      <c r="C349" s="840">
        <v>118</v>
      </c>
      <c r="D349" s="838" t="s">
        <v>9</v>
      </c>
      <c r="E349" s="839">
        <v>9704.5206795968697</v>
      </c>
      <c r="F349" s="839">
        <f>E349*C349</f>
        <v>1145133.4401924307</v>
      </c>
      <c r="G349" s="865" t="s">
        <v>133</v>
      </c>
    </row>
    <row r="350" spans="1:7">
      <c r="A350" s="612" t="s">
        <v>132</v>
      </c>
      <c r="B350" s="861" t="s">
        <v>17</v>
      </c>
      <c r="C350" s="840">
        <v>1</v>
      </c>
      <c r="D350" s="838" t="s">
        <v>13</v>
      </c>
      <c r="E350" s="839">
        <v>685786.12802484538</v>
      </c>
      <c r="F350" s="839">
        <f>E350*C350</f>
        <v>685786.12802484538</v>
      </c>
      <c r="G350" s="865" t="s">
        <v>133</v>
      </c>
    </row>
    <row r="351" spans="1:7">
      <c r="A351" s="612" t="s">
        <v>132</v>
      </c>
      <c r="B351" s="612" t="s">
        <v>21</v>
      </c>
      <c r="C351" s="840">
        <v>59</v>
      </c>
      <c r="D351" s="838" t="s">
        <v>9</v>
      </c>
      <c r="E351" s="839">
        <v>3465.2650532849784</v>
      </c>
      <c r="F351" s="839">
        <f>E351*C351</f>
        <v>204450.63814381373</v>
      </c>
      <c r="G351" s="865" t="s">
        <v>133</v>
      </c>
    </row>
    <row r="352" spans="1:7">
      <c r="A352" s="612" t="s">
        <v>132</v>
      </c>
      <c r="B352" s="612" t="s">
        <v>23</v>
      </c>
      <c r="C352" s="840">
        <v>38</v>
      </c>
      <c r="D352" s="838" t="s">
        <v>9</v>
      </c>
      <c r="E352" s="839">
        <v>5308.6426927995235</v>
      </c>
      <c r="F352" s="839">
        <f>E352*C352</f>
        <v>201728.4223263819</v>
      </c>
      <c r="G352" s="865" t="s">
        <v>133</v>
      </c>
    </row>
    <row r="353" spans="1:7">
      <c r="A353" s="612" t="s">
        <v>132</v>
      </c>
      <c r="B353" s="612" t="s">
        <v>25</v>
      </c>
      <c r="C353" s="840">
        <v>130</v>
      </c>
      <c r="D353" s="838" t="s">
        <v>9</v>
      </c>
      <c r="E353" s="839">
        <v>2017.6500876823256</v>
      </c>
      <c r="F353" s="839">
        <f>E353*C353</f>
        <v>262294.51139870234</v>
      </c>
      <c r="G353" s="865" t="s">
        <v>133</v>
      </c>
    </row>
    <row r="354" spans="1:7">
      <c r="A354" s="612" t="s">
        <v>132</v>
      </c>
      <c r="B354" s="612" t="s">
        <v>27</v>
      </c>
      <c r="C354" s="840">
        <v>4130</v>
      </c>
      <c r="D354" s="838" t="s">
        <v>9</v>
      </c>
      <c r="E354" s="839">
        <v>490.89892940848245</v>
      </c>
      <c r="F354" s="839">
        <f>E354*C354</f>
        <v>2027412.5784570326</v>
      </c>
      <c r="G354" s="865" t="s">
        <v>133</v>
      </c>
    </row>
    <row r="355" spans="1:7">
      <c r="A355" s="612" t="s">
        <v>132</v>
      </c>
      <c r="B355" s="612" t="s">
        <v>29</v>
      </c>
      <c r="C355" s="840">
        <v>140</v>
      </c>
      <c r="D355" s="838" t="s">
        <v>9</v>
      </c>
      <c r="E355" s="839">
        <v>4660.6127006696488</v>
      </c>
      <c r="F355" s="839">
        <f>E355*C355</f>
        <v>652485.77809375082</v>
      </c>
      <c r="G355" s="865" t="s">
        <v>133</v>
      </c>
    </row>
    <row r="356" spans="1:7">
      <c r="A356" s="612" t="s">
        <v>132</v>
      </c>
      <c r="B356" s="612" t="s">
        <v>31</v>
      </c>
      <c r="C356" s="840">
        <v>100</v>
      </c>
      <c r="D356" s="838" t="s">
        <v>9</v>
      </c>
      <c r="E356" s="839">
        <v>3314.7199764384945</v>
      </c>
      <c r="F356" s="839">
        <f>E356*C356</f>
        <v>331471.99764384946</v>
      </c>
      <c r="G356" s="865" t="s">
        <v>133</v>
      </c>
    </row>
    <row r="357" spans="1:7">
      <c r="A357" s="612" t="s">
        <v>132</v>
      </c>
      <c r="B357" s="612" t="s">
        <v>33</v>
      </c>
      <c r="C357" s="840">
        <v>350</v>
      </c>
      <c r="D357" s="838" t="s">
        <v>9</v>
      </c>
      <c r="E357" s="839">
        <v>3187.5534161396367</v>
      </c>
      <c r="F357" s="839">
        <f>E357*C357</f>
        <v>1115643.6956488728</v>
      </c>
      <c r="G357" s="865" t="s">
        <v>133</v>
      </c>
    </row>
    <row r="358" spans="1:7">
      <c r="A358" s="612" t="s">
        <v>132</v>
      </c>
      <c r="B358" s="612" t="s">
        <v>35</v>
      </c>
      <c r="C358" s="840">
        <v>234</v>
      </c>
      <c r="D358" s="838" t="s">
        <v>9</v>
      </c>
      <c r="E358" s="839">
        <v>1993.3011409578826</v>
      </c>
      <c r="F358" s="839">
        <f>E358*C358</f>
        <v>466432.46698414453</v>
      </c>
      <c r="G358" s="865" t="s">
        <v>133</v>
      </c>
    </row>
    <row r="359" spans="1:7">
      <c r="A359" s="612" t="s">
        <v>132</v>
      </c>
      <c r="B359" s="612" t="s">
        <v>37</v>
      </c>
      <c r="C359" s="840">
        <v>61</v>
      </c>
      <c r="D359" s="838" t="s">
        <v>9</v>
      </c>
      <c r="E359" s="839">
        <v>4318.151927557371</v>
      </c>
      <c r="F359" s="839">
        <f>E359*C359</f>
        <v>263407.26758099964</v>
      </c>
      <c r="G359" s="865" t="s">
        <v>133</v>
      </c>
    </row>
    <row r="360" spans="1:7">
      <c r="A360" s="612" t="s">
        <v>132</v>
      </c>
      <c r="B360" s="612" t="s">
        <v>39</v>
      </c>
      <c r="C360" s="840">
        <v>250</v>
      </c>
      <c r="D360" s="838" t="s">
        <v>9</v>
      </c>
      <c r="E360" s="839">
        <v>603.40089704241223</v>
      </c>
      <c r="F360" s="839">
        <f>E360*C360</f>
        <v>150850.22426060305</v>
      </c>
      <c r="G360" s="865" t="s">
        <v>133</v>
      </c>
    </row>
    <row r="361" spans="1:7">
      <c r="A361" s="612" t="s">
        <v>132</v>
      </c>
      <c r="B361" s="612" t="s">
        <v>83</v>
      </c>
      <c r="C361" s="840">
        <v>175</v>
      </c>
      <c r="D361" s="838" t="s">
        <v>9</v>
      </c>
      <c r="E361" s="839">
        <v>2690.3350823412711</v>
      </c>
      <c r="F361" s="839">
        <f>E361*C361</f>
        <v>470808.63940972247</v>
      </c>
      <c r="G361" s="865" t="s">
        <v>133</v>
      </c>
    </row>
    <row r="362" spans="1:7">
      <c r="A362" s="612" t="s">
        <v>132</v>
      </c>
      <c r="B362" s="612" t="s">
        <v>41</v>
      </c>
      <c r="C362" s="840">
        <v>50</v>
      </c>
      <c r="D362" s="838" t="s">
        <v>9</v>
      </c>
      <c r="E362" s="839">
        <v>5704.1926090764136</v>
      </c>
      <c r="F362" s="839">
        <f>E362*C362</f>
        <v>285209.63045382069</v>
      </c>
      <c r="G362" s="865" t="s">
        <v>133</v>
      </c>
    </row>
    <row r="363" spans="1:7">
      <c r="A363" s="861" t="s">
        <v>132</v>
      </c>
      <c r="B363" s="612" t="s">
        <v>75</v>
      </c>
      <c r="C363" s="840">
        <v>1</v>
      </c>
      <c r="D363" s="838" t="s">
        <v>13</v>
      </c>
      <c r="E363" s="839">
        <v>1436802.9234951097</v>
      </c>
      <c r="F363" s="839">
        <f>E363*C363</f>
        <v>1436802.9234951097</v>
      </c>
      <c r="G363" s="865" t="s">
        <v>133</v>
      </c>
    </row>
    <row r="364" spans="1:7">
      <c r="A364" s="612" t="s">
        <v>132</v>
      </c>
      <c r="B364" s="612" t="s">
        <v>43</v>
      </c>
      <c r="C364" s="840">
        <v>24</v>
      </c>
      <c r="D364" s="838" t="s">
        <v>9</v>
      </c>
      <c r="E364" s="839">
        <v>5845.2857326537705</v>
      </c>
      <c r="F364" s="839">
        <f>E364*C364</f>
        <v>140286.85758369049</v>
      </c>
      <c r="G364" s="865" t="s">
        <v>133</v>
      </c>
    </row>
    <row r="365" spans="1:7">
      <c r="A365" s="612" t="s">
        <v>132</v>
      </c>
      <c r="B365" s="612" t="s">
        <v>45</v>
      </c>
      <c r="C365" s="840">
        <v>720</v>
      </c>
      <c r="D365" s="838" t="s">
        <v>9</v>
      </c>
      <c r="E365" s="839">
        <v>332.57658823164718</v>
      </c>
      <c r="F365" s="839">
        <f>E365*C365</f>
        <v>239455.14352678598</v>
      </c>
      <c r="G365" s="865" t="s">
        <v>133</v>
      </c>
    </row>
    <row r="366" spans="1:7">
      <c r="A366" s="612" t="s">
        <v>132</v>
      </c>
      <c r="B366" s="612" t="s">
        <v>47</v>
      </c>
      <c r="C366" s="840">
        <v>100</v>
      </c>
      <c r="D366" s="838" t="s">
        <v>9</v>
      </c>
      <c r="E366" s="839">
        <v>1046.875</v>
      </c>
      <c r="F366" s="839">
        <f>E366*C366</f>
        <v>104687.5</v>
      </c>
      <c r="G366" s="865" t="s">
        <v>133</v>
      </c>
    </row>
    <row r="367" spans="1:7">
      <c r="A367" s="612" t="s">
        <v>132</v>
      </c>
      <c r="B367" s="612" t="s">
        <v>49</v>
      </c>
      <c r="C367" s="840">
        <v>35</v>
      </c>
      <c r="D367" s="838" t="s">
        <v>9</v>
      </c>
      <c r="E367" s="839">
        <v>6008.9289574156746</v>
      </c>
      <c r="F367" s="839">
        <f>E367*C367</f>
        <v>210312.51350954862</v>
      </c>
      <c r="G367" s="865" t="s">
        <v>133</v>
      </c>
    </row>
    <row r="368" spans="1:7">
      <c r="A368" s="612" t="s">
        <v>132</v>
      </c>
      <c r="B368" s="612" t="s">
        <v>51</v>
      </c>
      <c r="C368" s="840">
        <v>85</v>
      </c>
      <c r="D368" s="838" t="s">
        <v>9</v>
      </c>
      <c r="E368" s="839">
        <v>2615</v>
      </c>
      <c r="F368" s="839">
        <f>E368*C368</f>
        <v>222275</v>
      </c>
      <c r="G368" s="865" t="s">
        <v>133</v>
      </c>
    </row>
    <row r="369" spans="1:7">
      <c r="A369" s="612" t="s">
        <v>132</v>
      </c>
      <c r="B369" s="612" t="s">
        <v>53</v>
      </c>
      <c r="C369" s="840">
        <v>639</v>
      </c>
      <c r="D369" s="838" t="s">
        <v>9</v>
      </c>
      <c r="E369" s="839">
        <v>414.06</v>
      </c>
      <c r="F369" s="839">
        <f>E369*C369</f>
        <v>264584.34000000003</v>
      </c>
      <c r="G369" s="865" t="s">
        <v>133</v>
      </c>
    </row>
    <row r="370" spans="1:7" ht="57.6">
      <c r="A370" s="612" t="s">
        <v>134</v>
      </c>
      <c r="B370" s="612" t="s">
        <v>75</v>
      </c>
      <c r="C370" s="840">
        <v>1</v>
      </c>
      <c r="D370" s="838" t="s">
        <v>13</v>
      </c>
      <c r="E370" s="839">
        <v>1436802.9234951097</v>
      </c>
      <c r="F370" s="839">
        <f>E370*C370</f>
        <v>1436802.9234951097</v>
      </c>
      <c r="G370" s="866" t="s">
        <v>135</v>
      </c>
    </row>
    <row r="371" spans="1:7">
      <c r="A371" s="612" t="s">
        <v>136</v>
      </c>
      <c r="B371" s="612" t="s">
        <v>8</v>
      </c>
      <c r="C371" s="840">
        <v>60.199999999999996</v>
      </c>
      <c r="D371" s="838" t="s">
        <v>9</v>
      </c>
      <c r="E371" s="839">
        <v>17628.016110227749</v>
      </c>
      <c r="F371" s="839">
        <f>E371*C371</f>
        <v>1061206.5698357103</v>
      </c>
      <c r="G371" s="865" t="s">
        <v>137</v>
      </c>
    </row>
    <row r="372" spans="1:7">
      <c r="A372" s="612" t="s">
        <v>136</v>
      </c>
      <c r="B372" s="612" t="s">
        <v>12</v>
      </c>
      <c r="C372" s="840">
        <v>1</v>
      </c>
      <c r="D372" s="838" t="s">
        <v>13</v>
      </c>
      <c r="E372" s="839">
        <v>568503.51955484657</v>
      </c>
      <c r="F372" s="839">
        <f>E372*C372</f>
        <v>568503.51955484657</v>
      </c>
      <c r="G372" s="865" t="s">
        <v>137</v>
      </c>
    </row>
    <row r="373" spans="1:7">
      <c r="A373" s="612" t="s">
        <v>136</v>
      </c>
      <c r="B373" s="612" t="s">
        <v>15</v>
      </c>
      <c r="C373" s="840">
        <v>103</v>
      </c>
      <c r="D373" s="838" t="s">
        <v>9</v>
      </c>
      <c r="E373" s="839">
        <v>9704.5206795968697</v>
      </c>
      <c r="F373" s="839">
        <f>E373*C373</f>
        <v>999565.62999847764</v>
      </c>
      <c r="G373" s="865" t="s">
        <v>137</v>
      </c>
    </row>
    <row r="374" spans="1:7">
      <c r="A374" s="612" t="s">
        <v>136</v>
      </c>
      <c r="B374" s="861" t="s">
        <v>17</v>
      </c>
      <c r="C374" s="840">
        <v>1</v>
      </c>
      <c r="D374" s="838" t="s">
        <v>13</v>
      </c>
      <c r="E374" s="839">
        <v>325101.44276649511</v>
      </c>
      <c r="F374" s="839">
        <f>E374*C374</f>
        <v>325101.44276649511</v>
      </c>
      <c r="G374" s="865" t="s">
        <v>137</v>
      </c>
    </row>
    <row r="375" spans="1:7">
      <c r="A375" s="612" t="s">
        <v>136</v>
      </c>
      <c r="B375" s="612" t="s">
        <v>19</v>
      </c>
      <c r="C375" s="840">
        <v>150</v>
      </c>
      <c r="D375" s="838" t="s">
        <v>9</v>
      </c>
      <c r="E375" s="839">
        <v>770.34433955233214</v>
      </c>
      <c r="F375" s="839">
        <f>E375*C375</f>
        <v>115551.65093284982</v>
      </c>
      <c r="G375" s="865" t="s">
        <v>137</v>
      </c>
    </row>
    <row r="376" spans="1:7">
      <c r="A376" s="612" t="s">
        <v>136</v>
      </c>
      <c r="B376" s="612" t="s">
        <v>21</v>
      </c>
      <c r="C376" s="840">
        <v>12</v>
      </c>
      <c r="D376" s="838" t="s">
        <v>9</v>
      </c>
      <c r="E376" s="839">
        <v>3465.2650532849784</v>
      </c>
      <c r="F376" s="839">
        <f>E376*C376</f>
        <v>41583.180639419741</v>
      </c>
      <c r="G376" s="865" t="s">
        <v>137</v>
      </c>
    </row>
    <row r="377" spans="1:7">
      <c r="A377" s="612" t="s">
        <v>136</v>
      </c>
      <c r="B377" s="612" t="s">
        <v>23</v>
      </c>
      <c r="C377" s="840">
        <v>15</v>
      </c>
      <c r="D377" s="838" t="s">
        <v>9</v>
      </c>
      <c r="E377" s="839">
        <v>5308.6426927995235</v>
      </c>
      <c r="F377" s="839">
        <f>E377*C377</f>
        <v>79629.640391992856</v>
      </c>
      <c r="G377" s="865" t="s">
        <v>137</v>
      </c>
    </row>
    <row r="378" spans="1:7">
      <c r="A378" s="612" t="s">
        <v>136</v>
      </c>
      <c r="B378" s="612" t="s">
        <v>25</v>
      </c>
      <c r="C378" s="840">
        <v>200</v>
      </c>
      <c r="D378" s="838" t="s">
        <v>9</v>
      </c>
      <c r="E378" s="839">
        <v>2017.6500876823256</v>
      </c>
      <c r="F378" s="839">
        <f>E378*C378</f>
        <v>403530.01753646514</v>
      </c>
      <c r="G378" s="865" t="s">
        <v>137</v>
      </c>
    </row>
    <row r="379" spans="1:7">
      <c r="A379" s="612" t="s">
        <v>136</v>
      </c>
      <c r="B379" s="612" t="s">
        <v>27</v>
      </c>
      <c r="C379" s="840">
        <v>1452</v>
      </c>
      <c r="D379" s="838" t="s">
        <v>9</v>
      </c>
      <c r="E379" s="839">
        <v>490.89892940848245</v>
      </c>
      <c r="F379" s="839">
        <f>E379*C379</f>
        <v>712785.2455011165</v>
      </c>
      <c r="G379" s="865" t="s">
        <v>137</v>
      </c>
    </row>
    <row r="380" spans="1:7">
      <c r="A380" s="612" t="s">
        <v>136</v>
      </c>
      <c r="B380" s="612" t="s">
        <v>29</v>
      </c>
      <c r="C380" s="840">
        <v>108</v>
      </c>
      <c r="D380" s="838" t="s">
        <v>9</v>
      </c>
      <c r="E380" s="839">
        <v>4660.6127006696488</v>
      </c>
      <c r="F380" s="839">
        <f>E380*C380</f>
        <v>503346.17167232209</v>
      </c>
      <c r="G380" s="865" t="s">
        <v>137</v>
      </c>
    </row>
    <row r="381" spans="1:7">
      <c r="A381" s="612" t="s">
        <v>136</v>
      </c>
      <c r="B381" s="612" t="s">
        <v>31</v>
      </c>
      <c r="C381" s="840">
        <v>65</v>
      </c>
      <c r="D381" s="838" t="s">
        <v>9</v>
      </c>
      <c r="E381" s="839">
        <v>3314.7199764384945</v>
      </c>
      <c r="F381" s="839">
        <f>E381*C381</f>
        <v>215456.79846850215</v>
      </c>
      <c r="G381" s="865" t="s">
        <v>137</v>
      </c>
    </row>
    <row r="382" spans="1:7">
      <c r="A382" s="612" t="s">
        <v>136</v>
      </c>
      <c r="B382" s="612" t="s">
        <v>33</v>
      </c>
      <c r="C382" s="840">
        <v>240</v>
      </c>
      <c r="D382" s="838" t="s">
        <v>9</v>
      </c>
      <c r="E382" s="839">
        <v>3187.5534161396367</v>
      </c>
      <c r="F382" s="839">
        <f>E382*C382</f>
        <v>765012.81987351284</v>
      </c>
      <c r="G382" s="865" t="s">
        <v>137</v>
      </c>
    </row>
    <row r="383" spans="1:7">
      <c r="A383" s="612" t="s">
        <v>136</v>
      </c>
      <c r="B383" s="612" t="s">
        <v>35</v>
      </c>
      <c r="C383" s="840">
        <v>45</v>
      </c>
      <c r="D383" s="838" t="s">
        <v>9</v>
      </c>
      <c r="E383" s="839">
        <v>1993.3011409578826</v>
      </c>
      <c r="F383" s="839">
        <f>E383*C383</f>
        <v>89698.551343104715</v>
      </c>
      <c r="G383" s="865" t="s">
        <v>137</v>
      </c>
    </row>
    <row r="384" spans="1:7">
      <c r="A384" s="612" t="s">
        <v>136</v>
      </c>
      <c r="B384" s="612" t="s">
        <v>37</v>
      </c>
      <c r="C384" s="840">
        <v>11</v>
      </c>
      <c r="D384" s="838" t="s">
        <v>9</v>
      </c>
      <c r="E384" s="839">
        <v>4318.151927557371</v>
      </c>
      <c r="F384" s="839">
        <f>E384*C384</f>
        <v>47499.671203131082</v>
      </c>
      <c r="G384" s="865" t="s">
        <v>137</v>
      </c>
    </row>
    <row r="385" spans="1:7">
      <c r="A385" s="612" t="s">
        <v>136</v>
      </c>
      <c r="B385" s="612" t="s">
        <v>39</v>
      </c>
      <c r="C385" s="840">
        <v>200</v>
      </c>
      <c r="D385" s="838" t="s">
        <v>9</v>
      </c>
      <c r="E385" s="839">
        <v>603.40089704241223</v>
      </c>
      <c r="F385" s="839">
        <f>E385*C385</f>
        <v>120680.17940848245</v>
      </c>
      <c r="G385" s="865" t="s">
        <v>137</v>
      </c>
    </row>
    <row r="386" spans="1:7">
      <c r="A386" s="612" t="s">
        <v>136</v>
      </c>
      <c r="B386" s="612" t="s">
        <v>41</v>
      </c>
      <c r="C386" s="840">
        <v>5</v>
      </c>
      <c r="D386" s="838" t="s">
        <v>9</v>
      </c>
      <c r="E386" s="839">
        <v>5704.1926090764136</v>
      </c>
      <c r="F386" s="839">
        <f>E386*C386</f>
        <v>28520.963045382068</v>
      </c>
      <c r="G386" s="865" t="s">
        <v>137</v>
      </c>
    </row>
    <row r="387" spans="1:7">
      <c r="A387" s="612" t="s">
        <v>136</v>
      </c>
      <c r="B387" s="612" t="s">
        <v>43</v>
      </c>
      <c r="C387" s="840">
        <v>24</v>
      </c>
      <c r="D387" s="838" t="s">
        <v>9</v>
      </c>
      <c r="E387" s="839">
        <v>5845.2857326537705</v>
      </c>
      <c r="F387" s="839">
        <f>E387*C387</f>
        <v>140286.85758369049</v>
      </c>
      <c r="G387" s="865" t="s">
        <v>137</v>
      </c>
    </row>
    <row r="388" spans="1:7">
      <c r="A388" s="612" t="s">
        <v>136</v>
      </c>
      <c r="B388" s="612" t="s">
        <v>45</v>
      </c>
      <c r="C388" s="840">
        <v>720</v>
      </c>
      <c r="D388" s="838" t="s">
        <v>9</v>
      </c>
      <c r="E388" s="839">
        <v>332.57658823164718</v>
      </c>
      <c r="F388" s="839">
        <f>E388*C388</f>
        <v>239455.14352678598</v>
      </c>
      <c r="G388" s="865" t="s">
        <v>137</v>
      </c>
    </row>
    <row r="389" spans="1:7">
      <c r="A389" s="612" t="s">
        <v>136</v>
      </c>
      <c r="B389" s="612" t="s">
        <v>47</v>
      </c>
      <c r="C389" s="840">
        <v>100</v>
      </c>
      <c r="D389" s="838" t="s">
        <v>9</v>
      </c>
      <c r="E389" s="839">
        <v>1046.875</v>
      </c>
      <c r="F389" s="839">
        <f>E389*C389</f>
        <v>104687.5</v>
      </c>
      <c r="G389" s="865" t="s">
        <v>137</v>
      </c>
    </row>
    <row r="390" spans="1:7">
      <c r="A390" s="612" t="s">
        <v>136</v>
      </c>
      <c r="B390" s="612" t="s">
        <v>49</v>
      </c>
      <c r="C390" s="840">
        <v>35</v>
      </c>
      <c r="D390" s="838" t="s">
        <v>9</v>
      </c>
      <c r="E390" s="839">
        <v>6008.9289574156746</v>
      </c>
      <c r="F390" s="839">
        <f>E390*C390</f>
        <v>210312.51350954862</v>
      </c>
      <c r="G390" s="865" t="s">
        <v>137</v>
      </c>
    </row>
    <row r="391" spans="1:7">
      <c r="A391" s="612" t="s">
        <v>136</v>
      </c>
      <c r="B391" s="612" t="s">
        <v>51</v>
      </c>
      <c r="C391" s="840">
        <v>15</v>
      </c>
      <c r="D391" s="838" t="s">
        <v>9</v>
      </c>
      <c r="E391" s="839">
        <v>2615</v>
      </c>
      <c r="F391" s="839">
        <f>E391*C391</f>
        <v>39225</v>
      </c>
      <c r="G391" s="865" t="s">
        <v>137</v>
      </c>
    </row>
    <row r="392" spans="1:7">
      <c r="A392" s="612" t="s">
        <v>136</v>
      </c>
      <c r="B392" s="612" t="s">
        <v>53</v>
      </c>
      <c r="C392" s="840">
        <v>122</v>
      </c>
      <c r="D392" s="838" t="s">
        <v>9</v>
      </c>
      <c r="E392" s="839">
        <v>414.06</v>
      </c>
      <c r="F392" s="839">
        <f>E392*C392</f>
        <v>50515.32</v>
      </c>
      <c r="G392" s="865" t="s">
        <v>137</v>
      </c>
    </row>
    <row r="393" spans="1:7">
      <c r="A393" s="612" t="s">
        <v>136</v>
      </c>
      <c r="B393" s="612" t="s">
        <v>55</v>
      </c>
      <c r="C393" s="840">
        <v>150</v>
      </c>
      <c r="D393" s="838" t="s">
        <v>9</v>
      </c>
      <c r="E393" s="839">
        <v>656.93</v>
      </c>
      <c r="F393" s="839">
        <f>E393*C393</f>
        <v>98539.499999999985</v>
      </c>
      <c r="G393" s="865" t="s">
        <v>137</v>
      </c>
    </row>
    <row r="394" spans="1:7">
      <c r="A394" s="612" t="s">
        <v>138</v>
      </c>
      <c r="B394" s="612" t="s">
        <v>8</v>
      </c>
      <c r="C394" s="840">
        <v>65.099999999999994</v>
      </c>
      <c r="D394" s="838" t="s">
        <v>9</v>
      </c>
      <c r="E394" s="839">
        <v>17628.016110227749</v>
      </c>
      <c r="F394" s="839">
        <f>E394*C394</f>
        <v>1147583.8487758264</v>
      </c>
      <c r="G394" s="865" t="s">
        <v>139</v>
      </c>
    </row>
    <row r="395" spans="1:7">
      <c r="A395" s="612" t="s">
        <v>138</v>
      </c>
      <c r="B395" s="612" t="s">
        <v>12</v>
      </c>
      <c r="C395" s="840">
        <v>1</v>
      </c>
      <c r="D395" s="838" t="s">
        <v>13</v>
      </c>
      <c r="E395" s="839">
        <v>816764.74644055474</v>
      </c>
      <c r="F395" s="839">
        <f>E395*C395</f>
        <v>816764.74644055474</v>
      </c>
      <c r="G395" s="865" t="s">
        <v>139</v>
      </c>
    </row>
    <row r="396" spans="1:7">
      <c r="A396" s="612" t="s">
        <v>138</v>
      </c>
      <c r="B396" s="612" t="s">
        <v>15</v>
      </c>
      <c r="C396" s="840">
        <v>90</v>
      </c>
      <c r="D396" s="838" t="s">
        <v>9</v>
      </c>
      <c r="E396" s="839">
        <v>9704.5206795968697</v>
      </c>
      <c r="F396" s="839">
        <f>E396*C396</f>
        <v>873406.86116371828</v>
      </c>
      <c r="G396" s="865" t="s">
        <v>139</v>
      </c>
    </row>
    <row r="397" spans="1:7">
      <c r="A397" s="612" t="s">
        <v>138</v>
      </c>
      <c r="B397" s="861" t="s">
        <v>17</v>
      </c>
      <c r="C397" s="840">
        <v>1</v>
      </c>
      <c r="D397" s="838" t="s">
        <v>13</v>
      </c>
      <c r="E397" s="839">
        <v>638880.94474012719</v>
      </c>
      <c r="F397" s="839">
        <f>E397*C397</f>
        <v>638880.94474012719</v>
      </c>
      <c r="G397" s="865" t="s">
        <v>139</v>
      </c>
    </row>
    <row r="398" spans="1:7">
      <c r="A398" s="612" t="s">
        <v>138</v>
      </c>
      <c r="B398" s="612" t="s">
        <v>59</v>
      </c>
      <c r="C398" s="840">
        <v>15</v>
      </c>
      <c r="D398" s="838" t="s">
        <v>9</v>
      </c>
      <c r="E398" s="839">
        <v>18533.443254894697</v>
      </c>
      <c r="F398" s="839">
        <f>E398*C398</f>
        <v>278001.64882342046</v>
      </c>
      <c r="G398" s="865" t="s">
        <v>139</v>
      </c>
    </row>
    <row r="399" spans="1:7">
      <c r="A399" s="612" t="s">
        <v>138</v>
      </c>
      <c r="B399" s="612" t="s">
        <v>79</v>
      </c>
      <c r="C399" s="840">
        <v>10</v>
      </c>
      <c r="D399" s="838" t="s">
        <v>9</v>
      </c>
      <c r="E399" s="839">
        <v>21257.799804454229</v>
      </c>
      <c r="F399" s="839">
        <f>E399*C399</f>
        <v>212577.9980445423</v>
      </c>
      <c r="G399" s="865" t="s">
        <v>139</v>
      </c>
    </row>
    <row r="400" spans="1:7">
      <c r="A400" s="612" t="s">
        <v>138</v>
      </c>
      <c r="B400" s="612" t="s">
        <v>19</v>
      </c>
      <c r="C400" s="840">
        <v>150</v>
      </c>
      <c r="D400" s="838" t="s">
        <v>9</v>
      </c>
      <c r="E400" s="839">
        <v>770.34433955233214</v>
      </c>
      <c r="F400" s="839">
        <f>E400*C400</f>
        <v>115551.65093284982</v>
      </c>
      <c r="G400" s="865" t="s">
        <v>139</v>
      </c>
    </row>
    <row r="401" spans="1:7">
      <c r="A401" s="612" t="s">
        <v>138</v>
      </c>
      <c r="B401" s="612" t="s">
        <v>21</v>
      </c>
      <c r="C401" s="840">
        <v>18</v>
      </c>
      <c r="D401" s="838" t="s">
        <v>9</v>
      </c>
      <c r="E401" s="839">
        <v>3465.2650532849784</v>
      </c>
      <c r="F401" s="839">
        <f>E401*C401</f>
        <v>62374.770959129615</v>
      </c>
      <c r="G401" s="865" t="s">
        <v>139</v>
      </c>
    </row>
    <row r="402" spans="1:7">
      <c r="A402" s="612" t="s">
        <v>138</v>
      </c>
      <c r="B402" s="612" t="s">
        <v>23</v>
      </c>
      <c r="C402" s="840">
        <v>10</v>
      </c>
      <c r="D402" s="838" t="s">
        <v>9</v>
      </c>
      <c r="E402" s="839">
        <v>5308.6426927995235</v>
      </c>
      <c r="F402" s="839">
        <f>E402*C402</f>
        <v>53086.426927995235</v>
      </c>
      <c r="G402" s="865" t="s">
        <v>139</v>
      </c>
    </row>
    <row r="403" spans="1:7">
      <c r="A403" s="612" t="s">
        <v>138</v>
      </c>
      <c r="B403" s="612" t="s">
        <v>29</v>
      </c>
      <c r="C403" s="840">
        <v>110</v>
      </c>
      <c r="D403" s="838" t="s">
        <v>9</v>
      </c>
      <c r="E403" s="839">
        <v>4660.6127006696488</v>
      </c>
      <c r="F403" s="839">
        <f>E403*C403</f>
        <v>512667.39707366138</v>
      </c>
      <c r="G403" s="865" t="s">
        <v>139</v>
      </c>
    </row>
    <row r="404" spans="1:7">
      <c r="A404" s="612" t="s">
        <v>138</v>
      </c>
      <c r="B404" s="612" t="s">
        <v>31</v>
      </c>
      <c r="C404" s="840">
        <v>75</v>
      </c>
      <c r="D404" s="838" t="s">
        <v>9</v>
      </c>
      <c r="E404" s="839">
        <v>3314.7199764384945</v>
      </c>
      <c r="F404" s="839">
        <f>E404*C404</f>
        <v>248603.9982328871</v>
      </c>
      <c r="G404" s="865" t="s">
        <v>139</v>
      </c>
    </row>
    <row r="405" spans="1:7">
      <c r="A405" s="612" t="s">
        <v>138</v>
      </c>
      <c r="B405" s="612" t="s">
        <v>35</v>
      </c>
      <c r="C405" s="842">
        <v>85</v>
      </c>
      <c r="D405" s="838" t="s">
        <v>9</v>
      </c>
      <c r="E405" s="839">
        <v>1993.3011409578826</v>
      </c>
      <c r="F405" s="839">
        <f>E405*C405</f>
        <v>169430.59698142001</v>
      </c>
      <c r="G405" s="865" t="s">
        <v>139</v>
      </c>
    </row>
    <row r="406" spans="1:7">
      <c r="A406" s="612" t="s">
        <v>138</v>
      </c>
      <c r="B406" s="612" t="s">
        <v>63</v>
      </c>
      <c r="C406" s="840">
        <v>2</v>
      </c>
      <c r="D406" s="838" t="s">
        <v>64</v>
      </c>
      <c r="E406" s="839">
        <v>80668</v>
      </c>
      <c r="F406" s="839">
        <f>E406*C406</f>
        <v>161336</v>
      </c>
      <c r="G406" s="865" t="s">
        <v>139</v>
      </c>
    </row>
    <row r="407" spans="1:7">
      <c r="A407" s="612" t="s">
        <v>138</v>
      </c>
      <c r="B407" s="612" t="s">
        <v>37</v>
      </c>
      <c r="C407" s="840">
        <v>23</v>
      </c>
      <c r="D407" s="838" t="s">
        <v>9</v>
      </c>
      <c r="E407" s="839">
        <v>4318.151927557371</v>
      </c>
      <c r="F407" s="839">
        <f>E407*C407</f>
        <v>99317.49433381953</v>
      </c>
      <c r="G407" s="865" t="s">
        <v>139</v>
      </c>
    </row>
    <row r="408" spans="1:7">
      <c r="A408" s="612" t="s">
        <v>138</v>
      </c>
      <c r="B408" s="612" t="s">
        <v>39</v>
      </c>
      <c r="C408" s="840">
        <v>200</v>
      </c>
      <c r="D408" s="838" t="s">
        <v>9</v>
      </c>
      <c r="E408" s="839">
        <v>603.40089704241223</v>
      </c>
      <c r="F408" s="839">
        <f>E408*C408</f>
        <v>120680.17940848245</v>
      </c>
      <c r="G408" s="865" t="s">
        <v>139</v>
      </c>
    </row>
    <row r="409" spans="1:7">
      <c r="A409" s="612" t="s">
        <v>138</v>
      </c>
      <c r="B409" s="612" t="s">
        <v>41</v>
      </c>
      <c r="C409" s="840">
        <v>2</v>
      </c>
      <c r="D409" s="838" t="s">
        <v>9</v>
      </c>
      <c r="E409" s="839">
        <v>5704.1926090764136</v>
      </c>
      <c r="F409" s="839">
        <f>E409*C409</f>
        <v>11408.385218152827</v>
      </c>
      <c r="G409" s="865" t="s">
        <v>139</v>
      </c>
    </row>
    <row r="410" spans="1:7">
      <c r="A410" s="612" t="s">
        <v>138</v>
      </c>
      <c r="B410" s="612" t="s">
        <v>47</v>
      </c>
      <c r="C410" s="840">
        <v>100</v>
      </c>
      <c r="D410" s="838" t="s">
        <v>9</v>
      </c>
      <c r="E410" s="839">
        <v>1046.875</v>
      </c>
      <c r="F410" s="839">
        <f>E410*C410</f>
        <v>104687.5</v>
      </c>
      <c r="G410" s="865" t="s">
        <v>139</v>
      </c>
    </row>
    <row r="411" spans="1:7">
      <c r="A411" s="612" t="s">
        <v>138</v>
      </c>
      <c r="B411" s="612" t="s">
        <v>49</v>
      </c>
      <c r="C411" s="840">
        <v>35</v>
      </c>
      <c r="D411" s="838" t="s">
        <v>9</v>
      </c>
      <c r="E411" s="839">
        <v>6008.9289574156746</v>
      </c>
      <c r="F411" s="839">
        <f>E411*C411</f>
        <v>210312.51350954862</v>
      </c>
      <c r="G411" s="865" t="s">
        <v>139</v>
      </c>
    </row>
    <row r="412" spans="1:7">
      <c r="A412" s="612" t="s">
        <v>138</v>
      </c>
      <c r="B412" s="612" t="s">
        <v>51</v>
      </c>
      <c r="C412" s="840">
        <v>27</v>
      </c>
      <c r="D412" s="838" t="s">
        <v>9</v>
      </c>
      <c r="E412" s="839">
        <v>2615</v>
      </c>
      <c r="F412" s="839">
        <f>E412*C412</f>
        <v>70605</v>
      </c>
      <c r="G412" s="865" t="s">
        <v>139</v>
      </c>
    </row>
    <row r="413" spans="1:7">
      <c r="A413" s="612" t="s">
        <v>138</v>
      </c>
      <c r="B413" s="612" t="s">
        <v>53</v>
      </c>
      <c r="C413" s="840">
        <v>233</v>
      </c>
      <c r="D413" s="838" t="s">
        <v>9</v>
      </c>
      <c r="E413" s="839">
        <v>414.06</v>
      </c>
      <c r="F413" s="839">
        <f>E413*C413</f>
        <v>96475.98</v>
      </c>
      <c r="G413" s="865" t="s">
        <v>139</v>
      </c>
    </row>
    <row r="414" spans="1:7">
      <c r="A414" s="612" t="s">
        <v>138</v>
      </c>
      <c r="B414" s="612" t="s">
        <v>55</v>
      </c>
      <c r="C414" s="840">
        <v>150</v>
      </c>
      <c r="D414" s="838" t="s">
        <v>9</v>
      </c>
      <c r="E414" s="839">
        <v>656.93</v>
      </c>
      <c r="F414" s="839">
        <f>E414*C414</f>
        <v>98539.499999999985</v>
      </c>
      <c r="G414" s="865" t="s">
        <v>139</v>
      </c>
    </row>
    <row r="415" spans="1:7">
      <c r="A415" s="612" t="s">
        <v>140</v>
      </c>
      <c r="B415" s="612" t="s">
        <v>8</v>
      </c>
      <c r="C415" s="840">
        <v>20.299999999999997</v>
      </c>
      <c r="D415" s="838" t="s">
        <v>9</v>
      </c>
      <c r="E415" s="839">
        <v>17628.016110227749</v>
      </c>
      <c r="F415" s="839">
        <f>E415*C415</f>
        <v>357848.72703762323</v>
      </c>
      <c r="G415" s="865" t="s">
        <v>141</v>
      </c>
    </row>
    <row r="416" spans="1:7">
      <c r="A416" s="612" t="s">
        <v>140</v>
      </c>
      <c r="B416" s="612" t="s">
        <v>12</v>
      </c>
      <c r="C416" s="840">
        <v>1</v>
      </c>
      <c r="D416" s="838" t="s">
        <v>13</v>
      </c>
      <c r="E416" s="839">
        <v>636077.58131071983</v>
      </c>
      <c r="F416" s="839">
        <f>E416*C416</f>
        <v>636077.58131071983</v>
      </c>
      <c r="G416" s="865" t="s">
        <v>141</v>
      </c>
    </row>
    <row r="417" spans="1:8">
      <c r="A417" s="612" t="s">
        <v>140</v>
      </c>
      <c r="B417" s="612" t="s">
        <v>15</v>
      </c>
      <c r="C417" s="840">
        <v>43</v>
      </c>
      <c r="D417" s="838" t="s">
        <v>9</v>
      </c>
      <c r="E417" s="839">
        <v>9704.5206795968697</v>
      </c>
      <c r="F417" s="839">
        <f>E417*C417</f>
        <v>417294.3892226654</v>
      </c>
      <c r="G417" s="865" t="s">
        <v>141</v>
      </c>
    </row>
    <row r="418" spans="1:8">
      <c r="A418" s="612" t="s">
        <v>140</v>
      </c>
      <c r="B418" s="861" t="s">
        <v>17</v>
      </c>
      <c r="C418" s="840">
        <v>1</v>
      </c>
      <c r="D418" s="838" t="s">
        <v>13</v>
      </c>
      <c r="E418" s="839">
        <v>460964.73228085128</v>
      </c>
      <c r="F418" s="839">
        <f>E418*C418</f>
        <v>460964.73228085128</v>
      </c>
      <c r="G418" s="865" t="s">
        <v>141</v>
      </c>
    </row>
    <row r="419" spans="1:8">
      <c r="A419" s="612" t="s">
        <v>140</v>
      </c>
      <c r="B419" s="612" t="s">
        <v>67</v>
      </c>
      <c r="C419" s="840">
        <v>80</v>
      </c>
      <c r="D419" s="838" t="s">
        <v>9</v>
      </c>
      <c r="E419" s="839">
        <v>12758.168780248234</v>
      </c>
      <c r="F419" s="839">
        <f>E419*C419</f>
        <v>1020653.5024198587</v>
      </c>
      <c r="G419" s="865" t="s">
        <v>142</v>
      </c>
    </row>
    <row r="420" spans="1:8">
      <c r="A420" s="612" t="s">
        <v>140</v>
      </c>
      <c r="B420" s="612" t="s">
        <v>69</v>
      </c>
      <c r="C420" s="840">
        <v>50</v>
      </c>
      <c r="D420" s="838" t="s">
        <v>9</v>
      </c>
      <c r="E420" s="839">
        <v>10423.500123998232</v>
      </c>
      <c r="F420" s="839">
        <f>E420*C420</f>
        <v>521175.00619991159</v>
      </c>
      <c r="G420" s="865" t="s">
        <v>142</v>
      </c>
    </row>
    <row r="421" spans="1:8">
      <c r="A421" s="612" t="s">
        <v>140</v>
      </c>
      <c r="B421" s="612" t="s">
        <v>71</v>
      </c>
      <c r="C421" s="840">
        <v>30</v>
      </c>
      <c r="D421" s="838" t="s">
        <v>9</v>
      </c>
      <c r="E421" s="839">
        <v>4022.7657623938685</v>
      </c>
      <c r="F421" s="839">
        <f>E421*C421</f>
        <v>120682.97287181605</v>
      </c>
      <c r="G421" s="865" t="s">
        <v>142</v>
      </c>
    </row>
    <row r="422" spans="1:8">
      <c r="A422" s="612" t="s">
        <v>140</v>
      </c>
      <c r="B422" s="612" t="s">
        <v>19</v>
      </c>
      <c r="C422" s="840">
        <v>110</v>
      </c>
      <c r="D422" s="838" t="s">
        <v>9</v>
      </c>
      <c r="E422" s="839">
        <v>770.34433955233214</v>
      </c>
      <c r="F422" s="839">
        <f>E422*C422</f>
        <v>84737.877350756535</v>
      </c>
      <c r="G422" s="865" t="s">
        <v>141</v>
      </c>
      <c r="H422" s="865"/>
    </row>
    <row r="423" spans="1:8">
      <c r="A423" s="612" t="s">
        <v>140</v>
      </c>
      <c r="B423" s="612" t="s">
        <v>21</v>
      </c>
      <c r="C423" s="840">
        <v>2</v>
      </c>
      <c r="D423" s="838" t="s">
        <v>9</v>
      </c>
      <c r="E423" s="839">
        <v>3465.2650532849784</v>
      </c>
      <c r="F423" s="839">
        <f>E423*C423</f>
        <v>6930.5301065699568</v>
      </c>
      <c r="G423" s="865" t="s">
        <v>141</v>
      </c>
    </row>
    <row r="424" spans="1:8">
      <c r="A424" s="612" t="s">
        <v>140</v>
      </c>
      <c r="B424" s="612" t="s">
        <v>21</v>
      </c>
      <c r="C424" s="840">
        <v>2</v>
      </c>
      <c r="D424" s="838" t="s">
        <v>9</v>
      </c>
      <c r="E424" s="839">
        <v>3465.2650532849784</v>
      </c>
      <c r="F424" s="839">
        <f>E424*C424</f>
        <v>6930.5301065699568</v>
      </c>
      <c r="G424" s="865" t="s">
        <v>87</v>
      </c>
    </row>
    <row r="425" spans="1:8">
      <c r="A425" s="612" t="s">
        <v>140</v>
      </c>
      <c r="B425" s="612" t="s">
        <v>21</v>
      </c>
      <c r="C425" s="840">
        <v>2</v>
      </c>
      <c r="D425" s="838" t="s">
        <v>9</v>
      </c>
      <c r="E425" s="839">
        <v>3465.2650532849784</v>
      </c>
      <c r="F425" s="839">
        <f>E425*C425</f>
        <v>6930.5301065699568</v>
      </c>
      <c r="G425" s="865" t="s">
        <v>142</v>
      </c>
    </row>
    <row r="426" spans="1:8">
      <c r="A426" s="861" t="s">
        <v>140</v>
      </c>
      <c r="B426" s="612" t="s">
        <v>23</v>
      </c>
      <c r="C426" s="840">
        <v>3</v>
      </c>
      <c r="D426" s="838" t="s">
        <v>9</v>
      </c>
      <c r="E426" s="839">
        <v>5308.6426927995235</v>
      </c>
      <c r="F426" s="839">
        <f>E426*C426</f>
        <v>15925.928078398571</v>
      </c>
      <c r="G426" s="865" t="s">
        <v>141</v>
      </c>
    </row>
    <row r="427" spans="1:8">
      <c r="A427" s="861" t="s">
        <v>140</v>
      </c>
      <c r="B427" s="612" t="s">
        <v>23</v>
      </c>
      <c r="C427" s="840">
        <v>2</v>
      </c>
      <c r="D427" s="838" t="s">
        <v>9</v>
      </c>
      <c r="E427" s="839">
        <v>5308.6426927995235</v>
      </c>
      <c r="F427" s="839">
        <f>E427*C427</f>
        <v>10617.285385599047</v>
      </c>
      <c r="G427" s="865" t="s">
        <v>142</v>
      </c>
    </row>
    <row r="428" spans="1:8">
      <c r="A428" s="861" t="s">
        <v>140</v>
      </c>
      <c r="B428" s="612" t="s">
        <v>23</v>
      </c>
      <c r="C428" s="840">
        <v>2</v>
      </c>
      <c r="D428" s="838" t="s">
        <v>9</v>
      </c>
      <c r="E428" s="839">
        <v>5308.6426927995235</v>
      </c>
      <c r="F428" s="839">
        <f>E428*C428</f>
        <v>10617.285385599047</v>
      </c>
      <c r="G428" s="865" t="s">
        <v>87</v>
      </c>
    </row>
    <row r="429" spans="1:8">
      <c r="A429" s="612" t="s">
        <v>140</v>
      </c>
      <c r="B429" s="612" t="s">
        <v>25</v>
      </c>
      <c r="C429" s="840">
        <v>50</v>
      </c>
      <c r="D429" s="838" t="s">
        <v>9</v>
      </c>
      <c r="E429" s="839">
        <v>2017.6500876823256</v>
      </c>
      <c r="F429" s="839">
        <f>E429*C429</f>
        <v>100882.50438411628</v>
      </c>
      <c r="G429" s="865" t="s">
        <v>141</v>
      </c>
    </row>
    <row r="430" spans="1:8">
      <c r="A430" s="612" t="s">
        <v>140</v>
      </c>
      <c r="B430" s="612" t="s">
        <v>27</v>
      </c>
      <c r="C430" s="840">
        <v>664</v>
      </c>
      <c r="D430" s="838" t="s">
        <v>9</v>
      </c>
      <c r="E430" s="839">
        <v>490.89892940848245</v>
      </c>
      <c r="F430" s="839">
        <f>E430*C430</f>
        <v>325956.88912723237</v>
      </c>
      <c r="G430" s="865" t="s">
        <v>141</v>
      </c>
    </row>
    <row r="431" spans="1:8">
      <c r="A431" s="612" t="s">
        <v>140</v>
      </c>
      <c r="B431" s="612" t="s">
        <v>27</v>
      </c>
      <c r="C431" s="840">
        <v>747</v>
      </c>
      <c r="D431" s="838" t="s">
        <v>9</v>
      </c>
      <c r="E431" s="839">
        <v>490.89892940848245</v>
      </c>
      <c r="F431" s="839">
        <f>E431*C431</f>
        <v>366701.50026813638</v>
      </c>
      <c r="G431" s="865" t="s">
        <v>142</v>
      </c>
    </row>
    <row r="432" spans="1:8">
      <c r="A432" s="612" t="s">
        <v>140</v>
      </c>
      <c r="B432" s="612" t="s">
        <v>27</v>
      </c>
      <c r="C432" s="840">
        <v>460</v>
      </c>
      <c r="D432" s="838" t="s">
        <v>9</v>
      </c>
      <c r="E432" s="839">
        <v>490.89892940848245</v>
      </c>
      <c r="F432" s="839">
        <f>E432*C432</f>
        <v>225813.50752790194</v>
      </c>
      <c r="G432" s="865" t="s">
        <v>87</v>
      </c>
    </row>
    <row r="433" spans="1:7">
      <c r="A433" s="612" t="s">
        <v>140</v>
      </c>
      <c r="B433" s="612" t="s">
        <v>29</v>
      </c>
      <c r="C433" s="840">
        <v>30</v>
      </c>
      <c r="D433" s="838" t="s">
        <v>9</v>
      </c>
      <c r="E433" s="839">
        <v>4660.6127006696488</v>
      </c>
      <c r="F433" s="839">
        <f>E433*C433</f>
        <v>139818.38102008947</v>
      </c>
      <c r="G433" s="865" t="s">
        <v>141</v>
      </c>
    </row>
    <row r="434" spans="1:7">
      <c r="A434" s="612" t="s">
        <v>140</v>
      </c>
      <c r="B434" s="612" t="s">
        <v>31</v>
      </c>
      <c r="C434" s="840">
        <v>20</v>
      </c>
      <c r="D434" s="838" t="s">
        <v>9</v>
      </c>
      <c r="E434" s="839">
        <v>3314.7199764384945</v>
      </c>
      <c r="F434" s="839">
        <f>E434*C434</f>
        <v>66294.399528769893</v>
      </c>
      <c r="G434" s="865" t="s">
        <v>141</v>
      </c>
    </row>
    <row r="435" spans="1:7">
      <c r="A435" s="612" t="s">
        <v>140</v>
      </c>
      <c r="B435" s="612" t="s">
        <v>33</v>
      </c>
      <c r="C435" s="840">
        <v>100</v>
      </c>
      <c r="D435" s="838" t="s">
        <v>9</v>
      </c>
      <c r="E435" s="839">
        <v>3187.5534161396367</v>
      </c>
      <c r="F435" s="839">
        <f>E435*C435</f>
        <v>318755.34161396365</v>
      </c>
      <c r="G435" s="865" t="s">
        <v>141</v>
      </c>
    </row>
    <row r="436" spans="1:7">
      <c r="A436" s="612" t="s">
        <v>140</v>
      </c>
      <c r="B436" s="612" t="s">
        <v>35</v>
      </c>
      <c r="C436" s="840">
        <v>30</v>
      </c>
      <c r="D436" s="838" t="s">
        <v>9</v>
      </c>
      <c r="E436" s="839">
        <v>1993.3011409578826</v>
      </c>
      <c r="F436" s="839">
        <f>E436*C436</f>
        <v>59799.034228736477</v>
      </c>
      <c r="G436" s="865" t="s">
        <v>87</v>
      </c>
    </row>
    <row r="437" spans="1:7">
      <c r="A437" s="612" t="s">
        <v>140</v>
      </c>
      <c r="B437" s="612" t="s">
        <v>35</v>
      </c>
      <c r="C437" s="840">
        <v>47</v>
      </c>
      <c r="D437" s="838" t="s">
        <v>9</v>
      </c>
      <c r="E437" s="839">
        <v>1993.3011409578826</v>
      </c>
      <c r="F437" s="839">
        <f>E437*C437</f>
        <v>93685.153625020481</v>
      </c>
      <c r="G437" s="865" t="s">
        <v>142</v>
      </c>
    </row>
    <row r="438" spans="1:7">
      <c r="A438" s="612" t="s">
        <v>140</v>
      </c>
      <c r="B438" s="612" t="s">
        <v>35</v>
      </c>
      <c r="C438" s="840">
        <v>23</v>
      </c>
      <c r="D438" s="838" t="s">
        <v>9</v>
      </c>
      <c r="E438" s="839">
        <v>1993.3011409578826</v>
      </c>
      <c r="F438" s="839">
        <f>E438*C438</f>
        <v>45845.926242031303</v>
      </c>
      <c r="G438" s="865" t="s">
        <v>141</v>
      </c>
    </row>
    <row r="439" spans="1:7">
      <c r="A439" s="612" t="s">
        <v>140</v>
      </c>
      <c r="B439" s="612" t="s">
        <v>37</v>
      </c>
      <c r="C439" s="840">
        <v>10</v>
      </c>
      <c r="D439" s="838" t="s">
        <v>9</v>
      </c>
      <c r="E439" s="839">
        <v>4318.151927557371</v>
      </c>
      <c r="F439" s="839">
        <f>E439*C439</f>
        <v>43181.519275573708</v>
      </c>
      <c r="G439" s="865" t="s">
        <v>87</v>
      </c>
    </row>
    <row r="440" spans="1:7">
      <c r="A440" s="612" t="s">
        <v>140</v>
      </c>
      <c r="B440" s="612" t="s">
        <v>37</v>
      </c>
      <c r="C440" s="840">
        <v>21</v>
      </c>
      <c r="D440" s="838" t="s">
        <v>9</v>
      </c>
      <c r="E440" s="839">
        <v>4318.151927557371</v>
      </c>
      <c r="F440" s="839">
        <f>E440*C440</f>
        <v>90681.190478704797</v>
      </c>
      <c r="G440" s="865" t="s">
        <v>142</v>
      </c>
    </row>
    <row r="441" spans="1:7">
      <c r="A441" s="612" t="s">
        <v>140</v>
      </c>
      <c r="B441" s="612" t="s">
        <v>37</v>
      </c>
      <c r="C441" s="840">
        <v>2</v>
      </c>
      <c r="D441" s="838" t="s">
        <v>9</v>
      </c>
      <c r="E441" s="839">
        <v>4318.151927557371</v>
      </c>
      <c r="F441" s="839">
        <f>E441*C441</f>
        <v>8636.303855114742</v>
      </c>
      <c r="G441" s="865" t="s">
        <v>141</v>
      </c>
    </row>
    <row r="442" spans="1:7">
      <c r="A442" s="612" t="s">
        <v>140</v>
      </c>
      <c r="B442" s="612" t="s">
        <v>39</v>
      </c>
      <c r="C442" s="840">
        <v>150</v>
      </c>
      <c r="D442" s="838" t="s">
        <v>9</v>
      </c>
      <c r="E442" s="839">
        <v>603.40089704241223</v>
      </c>
      <c r="F442" s="839">
        <f>E442*C442</f>
        <v>90510.134556361838</v>
      </c>
      <c r="G442" s="865" t="s">
        <v>141</v>
      </c>
    </row>
    <row r="443" spans="1:7">
      <c r="A443" s="612" t="s">
        <v>140</v>
      </c>
      <c r="B443" s="612" t="s">
        <v>83</v>
      </c>
      <c r="C443" s="840">
        <v>100</v>
      </c>
      <c r="D443" s="838" t="s">
        <v>9</v>
      </c>
      <c r="E443" s="839">
        <v>2690.3350823412711</v>
      </c>
      <c r="F443" s="839">
        <f>E443*C443</f>
        <v>269033.50823412713</v>
      </c>
      <c r="G443" s="865" t="s">
        <v>141</v>
      </c>
    </row>
    <row r="444" spans="1:7">
      <c r="A444" s="612" t="s">
        <v>140</v>
      </c>
      <c r="B444" s="612" t="s">
        <v>41</v>
      </c>
      <c r="C444" s="840">
        <v>4</v>
      </c>
      <c r="D444" s="838" t="s">
        <v>9</v>
      </c>
      <c r="E444" s="839">
        <v>5704.1926090764136</v>
      </c>
      <c r="F444" s="839">
        <f>E444*C444</f>
        <v>22816.770436305655</v>
      </c>
      <c r="G444" s="865" t="s">
        <v>87</v>
      </c>
    </row>
    <row r="445" spans="1:7">
      <c r="A445" s="612" t="s">
        <v>140</v>
      </c>
      <c r="B445" s="612" t="s">
        <v>41</v>
      </c>
      <c r="C445" s="840">
        <v>5</v>
      </c>
      <c r="D445" s="838" t="s">
        <v>9</v>
      </c>
      <c r="E445" s="839">
        <v>5704.1926090764136</v>
      </c>
      <c r="F445" s="839">
        <f>E445*C445</f>
        <v>28520.963045382068</v>
      </c>
      <c r="G445" s="865" t="s">
        <v>142</v>
      </c>
    </row>
    <row r="446" spans="1:7">
      <c r="A446" s="612" t="s">
        <v>140</v>
      </c>
      <c r="B446" s="612" t="s">
        <v>43</v>
      </c>
      <c r="C446" s="840">
        <v>24</v>
      </c>
      <c r="D446" s="838" t="s">
        <v>9</v>
      </c>
      <c r="E446" s="839">
        <v>5845.2857326537705</v>
      </c>
      <c r="F446" s="839">
        <f>E446*C446</f>
        <v>140286.85758369049</v>
      </c>
      <c r="G446" s="865" t="s">
        <v>141</v>
      </c>
    </row>
    <row r="447" spans="1:7">
      <c r="A447" s="612" t="s">
        <v>140</v>
      </c>
      <c r="B447" s="612" t="s">
        <v>45</v>
      </c>
      <c r="C447" s="840">
        <v>720</v>
      </c>
      <c r="D447" s="838" t="s">
        <v>9</v>
      </c>
      <c r="E447" s="839">
        <v>332.57658823164718</v>
      </c>
      <c r="F447" s="839">
        <f>E447*C447</f>
        <v>239455.14352678598</v>
      </c>
      <c r="G447" s="865" t="s">
        <v>141</v>
      </c>
    </row>
    <row r="448" spans="1:7">
      <c r="A448" s="612" t="s">
        <v>140</v>
      </c>
      <c r="B448" s="612" t="s">
        <v>47</v>
      </c>
      <c r="C448" s="840">
        <v>50</v>
      </c>
      <c r="D448" s="838" t="s">
        <v>9</v>
      </c>
      <c r="E448" s="839">
        <v>1046.875</v>
      </c>
      <c r="F448" s="839">
        <f>E448*C448</f>
        <v>52343.75</v>
      </c>
      <c r="G448" s="865" t="s">
        <v>141</v>
      </c>
    </row>
    <row r="449" spans="1:7">
      <c r="A449" s="612" t="s">
        <v>140</v>
      </c>
      <c r="B449" s="612" t="s">
        <v>49</v>
      </c>
      <c r="C449" s="840">
        <v>35</v>
      </c>
      <c r="D449" s="838" t="s">
        <v>9</v>
      </c>
      <c r="E449" s="839">
        <v>6008.9289574156746</v>
      </c>
      <c r="F449" s="839">
        <f>E449*C449</f>
        <v>210312.51350954862</v>
      </c>
      <c r="G449" s="865" t="s">
        <v>141</v>
      </c>
    </row>
    <row r="450" spans="1:7">
      <c r="A450" s="612" t="s">
        <v>140</v>
      </c>
      <c r="B450" s="612" t="s">
        <v>51</v>
      </c>
      <c r="C450" s="840">
        <v>33</v>
      </c>
      <c r="D450" s="838" t="s">
        <v>9</v>
      </c>
      <c r="E450" s="839">
        <v>2615</v>
      </c>
      <c r="F450" s="839">
        <f>E450*C450</f>
        <v>86295</v>
      </c>
      <c r="G450" s="865" t="s">
        <v>141</v>
      </c>
    </row>
    <row r="451" spans="1:7">
      <c r="A451" s="612" t="s">
        <v>140</v>
      </c>
      <c r="B451" s="612" t="s">
        <v>53</v>
      </c>
      <c r="C451" s="840">
        <v>62</v>
      </c>
      <c r="D451" s="838" t="s">
        <v>9</v>
      </c>
      <c r="E451" s="839">
        <v>414.06</v>
      </c>
      <c r="F451" s="839">
        <f>E451*C451</f>
        <v>25671.72</v>
      </c>
      <c r="G451" s="865" t="s">
        <v>141</v>
      </c>
    </row>
    <row r="452" spans="1:7">
      <c r="A452" s="612" t="s">
        <v>140</v>
      </c>
      <c r="B452" s="612" t="s">
        <v>53</v>
      </c>
      <c r="C452" s="840">
        <v>82</v>
      </c>
      <c r="D452" s="838" t="s">
        <v>9</v>
      </c>
      <c r="E452" s="839">
        <v>414.06</v>
      </c>
      <c r="F452" s="839">
        <f>E452*C452</f>
        <v>33952.92</v>
      </c>
      <c r="G452" s="865" t="s">
        <v>141</v>
      </c>
    </row>
    <row r="453" spans="1:7">
      <c r="A453" s="612" t="s">
        <v>140</v>
      </c>
      <c r="B453" s="612" t="s">
        <v>53</v>
      </c>
      <c r="C453" s="840">
        <v>127</v>
      </c>
      <c r="D453" s="838" t="s">
        <v>9</v>
      </c>
      <c r="E453" s="839">
        <v>414.06</v>
      </c>
      <c r="F453" s="839">
        <f>E453*C453</f>
        <v>52585.62</v>
      </c>
      <c r="G453" s="865" t="s">
        <v>141</v>
      </c>
    </row>
    <row r="454" spans="1:7">
      <c r="A454" s="612" t="s">
        <v>140</v>
      </c>
      <c r="B454" s="612" t="s">
        <v>55</v>
      </c>
      <c r="C454" s="840">
        <v>110</v>
      </c>
      <c r="D454" s="838" t="s">
        <v>9</v>
      </c>
      <c r="E454" s="839">
        <v>656.93</v>
      </c>
      <c r="F454" s="839">
        <f>E454*C454</f>
        <v>72262.299999999988</v>
      </c>
      <c r="G454" s="865" t="s">
        <v>141</v>
      </c>
    </row>
    <row r="455" spans="1:7">
      <c r="A455" s="612" t="s">
        <v>143</v>
      </c>
      <c r="B455" s="612" t="s">
        <v>8</v>
      </c>
      <c r="C455" s="840">
        <v>40.5</v>
      </c>
      <c r="D455" s="838" t="s">
        <v>9</v>
      </c>
      <c r="E455" s="839">
        <v>17628.016110227749</v>
      </c>
      <c r="F455" s="839">
        <f>E455*C455</f>
        <v>713934.65246422379</v>
      </c>
      <c r="G455" s="865" t="s">
        <v>144</v>
      </c>
    </row>
    <row r="456" spans="1:7">
      <c r="A456" s="612" t="s">
        <v>143</v>
      </c>
      <c r="B456" s="612" t="s">
        <v>12</v>
      </c>
      <c r="C456" s="840">
        <v>1</v>
      </c>
      <c r="D456" s="838" t="s">
        <v>13</v>
      </c>
      <c r="E456" s="839">
        <v>428948.39201554313</v>
      </c>
      <c r="F456" s="839">
        <f>E456*C456</f>
        <v>428948.39201554313</v>
      </c>
      <c r="G456" s="865" t="s">
        <v>144</v>
      </c>
    </row>
    <row r="457" spans="1:7">
      <c r="A457" s="612" t="s">
        <v>143</v>
      </c>
      <c r="B457" s="612" t="s">
        <v>15</v>
      </c>
      <c r="C457" s="840">
        <v>71</v>
      </c>
      <c r="D457" s="838" t="s">
        <v>9</v>
      </c>
      <c r="E457" s="839">
        <v>9704.5206795968697</v>
      </c>
      <c r="F457" s="839">
        <f>E457*C457</f>
        <v>689020.96825137781</v>
      </c>
      <c r="G457" s="865" t="s">
        <v>144</v>
      </c>
    </row>
    <row r="458" spans="1:7">
      <c r="A458" s="612" t="s">
        <v>143</v>
      </c>
      <c r="B458" s="861" t="s">
        <v>17</v>
      </c>
      <c r="C458" s="840">
        <v>1</v>
      </c>
      <c r="D458" s="838" t="s">
        <v>13</v>
      </c>
      <c r="E458" s="839">
        <v>520809.27647169866</v>
      </c>
      <c r="F458" s="839">
        <f>E458*C458</f>
        <v>520809.27647169866</v>
      </c>
      <c r="G458" s="865" t="s">
        <v>144</v>
      </c>
    </row>
    <row r="459" spans="1:7">
      <c r="A459" s="612" t="s">
        <v>143</v>
      </c>
      <c r="B459" s="612" t="s">
        <v>19</v>
      </c>
      <c r="C459" s="840">
        <v>204</v>
      </c>
      <c r="D459" s="838" t="s">
        <v>9</v>
      </c>
      <c r="E459" s="839">
        <v>770.34433955233214</v>
      </c>
      <c r="F459" s="839">
        <f>E459*C459</f>
        <v>157150.24526867576</v>
      </c>
      <c r="G459" s="865" t="s">
        <v>144</v>
      </c>
    </row>
    <row r="460" spans="1:7">
      <c r="A460" s="612" t="s">
        <v>143</v>
      </c>
      <c r="B460" s="612" t="s">
        <v>21</v>
      </c>
      <c r="C460" s="840">
        <v>12</v>
      </c>
      <c r="D460" s="838" t="s">
        <v>9</v>
      </c>
      <c r="E460" s="839">
        <v>3465.2650532849784</v>
      </c>
      <c r="F460" s="839">
        <f>E460*C460</f>
        <v>41583.180639419741</v>
      </c>
      <c r="G460" s="865" t="s">
        <v>144</v>
      </c>
    </row>
    <row r="461" spans="1:7">
      <c r="A461" s="612" t="s">
        <v>143</v>
      </c>
      <c r="B461" s="612" t="s">
        <v>23</v>
      </c>
      <c r="C461" s="840">
        <v>2</v>
      </c>
      <c r="D461" s="838" t="s">
        <v>9</v>
      </c>
      <c r="E461" s="839">
        <v>5308.6426927995235</v>
      </c>
      <c r="F461" s="839">
        <f>E461*C461</f>
        <v>10617.285385599047</v>
      </c>
      <c r="G461" s="865" t="s">
        <v>144</v>
      </c>
    </row>
    <row r="462" spans="1:7">
      <c r="A462" s="612" t="s">
        <v>143</v>
      </c>
      <c r="B462" s="612" t="s">
        <v>29</v>
      </c>
      <c r="C462" s="840">
        <v>95</v>
      </c>
      <c r="D462" s="838" t="s">
        <v>9</v>
      </c>
      <c r="E462" s="839">
        <v>4660.6127006696488</v>
      </c>
      <c r="F462" s="839">
        <f>E462*C462</f>
        <v>442758.20656361664</v>
      </c>
      <c r="G462" s="865" t="s">
        <v>144</v>
      </c>
    </row>
    <row r="463" spans="1:7">
      <c r="A463" s="612" t="s">
        <v>143</v>
      </c>
      <c r="B463" s="612" t="s">
        <v>31</v>
      </c>
      <c r="C463" s="840">
        <v>65</v>
      </c>
      <c r="D463" s="838" t="s">
        <v>9</v>
      </c>
      <c r="E463" s="839">
        <v>3314.7199764384945</v>
      </c>
      <c r="F463" s="839">
        <f>E463*C463</f>
        <v>215456.79846850215</v>
      </c>
      <c r="G463" s="865" t="s">
        <v>144</v>
      </c>
    </row>
    <row r="464" spans="1:7">
      <c r="A464" s="612" t="s">
        <v>143</v>
      </c>
      <c r="B464" s="612" t="s">
        <v>35</v>
      </c>
      <c r="C464" s="842">
        <v>22</v>
      </c>
      <c r="D464" s="838" t="s">
        <v>9</v>
      </c>
      <c r="E464" s="839">
        <v>1993.3011409578826</v>
      </c>
      <c r="F464" s="839">
        <f>E464*C464</f>
        <v>43852.62510107342</v>
      </c>
      <c r="G464" s="865" t="s">
        <v>144</v>
      </c>
    </row>
    <row r="465" spans="1:7" ht="13.5" customHeight="1">
      <c r="A465" s="612" t="s">
        <v>143</v>
      </c>
      <c r="B465" s="612" t="s">
        <v>63</v>
      </c>
      <c r="C465" s="840">
        <v>3</v>
      </c>
      <c r="D465" s="838" t="s">
        <v>64</v>
      </c>
      <c r="E465" s="839">
        <v>80668</v>
      </c>
      <c r="F465" s="839">
        <f>E465*C465</f>
        <v>242004</v>
      </c>
      <c r="G465" s="865" t="s">
        <v>144</v>
      </c>
    </row>
    <row r="466" spans="1:7">
      <c r="A466" s="612" t="s">
        <v>143</v>
      </c>
      <c r="B466" s="612" t="s">
        <v>37</v>
      </c>
      <c r="C466" s="840">
        <v>6</v>
      </c>
      <c r="D466" s="838" t="s">
        <v>9</v>
      </c>
      <c r="E466" s="839">
        <v>4318.151927557371</v>
      </c>
      <c r="F466" s="839">
        <f>E466*C466</f>
        <v>25908.911565344228</v>
      </c>
      <c r="G466" s="865" t="s">
        <v>144</v>
      </c>
    </row>
    <row r="467" spans="1:7">
      <c r="A467" s="612" t="s">
        <v>143</v>
      </c>
      <c r="B467" s="612" t="s">
        <v>39</v>
      </c>
      <c r="C467" s="840">
        <v>200</v>
      </c>
      <c r="D467" s="838" t="s">
        <v>9</v>
      </c>
      <c r="E467" s="839">
        <v>603.40089704241223</v>
      </c>
      <c r="F467" s="839">
        <f>E467*C467</f>
        <v>120680.17940848245</v>
      </c>
      <c r="G467" s="865" t="s">
        <v>144</v>
      </c>
    </row>
    <row r="468" spans="1:7">
      <c r="A468" s="612" t="s">
        <v>143</v>
      </c>
      <c r="B468" s="614" t="s">
        <v>47</v>
      </c>
      <c r="C468" s="840">
        <v>100</v>
      </c>
      <c r="D468" s="838" t="s">
        <v>9</v>
      </c>
      <c r="E468" s="839">
        <v>1046.875</v>
      </c>
      <c r="F468" s="839">
        <f>E468*C468</f>
        <v>104687.5</v>
      </c>
      <c r="G468" s="865" t="s">
        <v>144</v>
      </c>
    </row>
    <row r="469" spans="1:7">
      <c r="A469" s="612" t="s">
        <v>143</v>
      </c>
      <c r="B469" s="614" t="s">
        <v>49</v>
      </c>
      <c r="C469" s="840">
        <v>35</v>
      </c>
      <c r="D469" s="838" t="s">
        <v>9</v>
      </c>
      <c r="E469" s="839">
        <v>6008.9289574156746</v>
      </c>
      <c r="F469" s="839">
        <f>E469*C469</f>
        <v>210312.51350954862</v>
      </c>
      <c r="G469" s="865" t="s">
        <v>144</v>
      </c>
    </row>
    <row r="470" spans="1:7">
      <c r="A470" s="612" t="s">
        <v>143</v>
      </c>
      <c r="B470" s="614" t="s">
        <v>145</v>
      </c>
      <c r="C470" s="840">
        <v>7</v>
      </c>
      <c r="D470" s="838" t="s">
        <v>9</v>
      </c>
      <c r="E470" s="839">
        <v>2615</v>
      </c>
      <c r="F470" s="839">
        <f>E470*C470</f>
        <v>18305</v>
      </c>
      <c r="G470" s="865" t="s">
        <v>144</v>
      </c>
    </row>
    <row r="471" spans="1:7">
      <c r="A471" s="612" t="s">
        <v>143</v>
      </c>
      <c r="B471" s="614" t="s">
        <v>53</v>
      </c>
      <c r="C471" s="840">
        <v>60</v>
      </c>
      <c r="D471" s="838" t="s">
        <v>9</v>
      </c>
      <c r="E471" s="839">
        <v>414.06</v>
      </c>
      <c r="F471" s="839">
        <f>E471*C471</f>
        <v>24843.599999999999</v>
      </c>
      <c r="G471" s="865" t="s">
        <v>144</v>
      </c>
    </row>
    <row r="472" spans="1:7">
      <c r="A472" s="612" t="s">
        <v>143</v>
      </c>
      <c r="B472" s="612" t="s">
        <v>55</v>
      </c>
      <c r="C472" s="840">
        <v>204</v>
      </c>
      <c r="D472" s="838" t="s">
        <v>9</v>
      </c>
      <c r="E472" s="839">
        <v>656.93</v>
      </c>
      <c r="F472" s="839">
        <f>E472*C472</f>
        <v>134013.72</v>
      </c>
      <c r="G472" s="865" t="s">
        <v>144</v>
      </c>
    </row>
    <row r="473" spans="1:7">
      <c r="A473" s="612" t="s">
        <v>146</v>
      </c>
      <c r="B473" s="612" t="s">
        <v>148</v>
      </c>
      <c r="C473" s="840">
        <v>1</v>
      </c>
      <c r="D473" s="838" t="s">
        <v>13</v>
      </c>
      <c r="E473" s="839">
        <v>291291</v>
      </c>
      <c r="F473" s="839">
        <f>E473*C473</f>
        <v>291291</v>
      </c>
      <c r="G473" s="865"/>
    </row>
    <row r="474" spans="1:7">
      <c r="A474" s="612" t="s">
        <v>149</v>
      </c>
      <c r="B474" s="612" t="s">
        <v>151</v>
      </c>
      <c r="C474" s="840">
        <v>1</v>
      </c>
      <c r="D474" s="838" t="s">
        <v>13</v>
      </c>
      <c r="E474" s="839">
        <v>1467215.371</v>
      </c>
      <c r="F474" s="839">
        <f>E474*C474</f>
        <v>1467215.371</v>
      </c>
      <c r="G474" s="865"/>
    </row>
    <row r="475" spans="1:7">
      <c r="A475" s="612" t="s">
        <v>152</v>
      </c>
      <c r="B475" s="612" t="s">
        <v>154</v>
      </c>
      <c r="C475" s="840">
        <v>1</v>
      </c>
      <c r="D475" s="838" t="s">
        <v>13</v>
      </c>
      <c r="E475" s="839">
        <v>3750461.35</v>
      </c>
      <c r="F475" s="839">
        <f>E475*C475</f>
        <v>3750461.35</v>
      </c>
      <c r="G475" s="865"/>
    </row>
    <row r="476" spans="1:7">
      <c r="A476" s="612" t="s">
        <v>155</v>
      </c>
      <c r="B476" s="612" t="s">
        <v>157</v>
      </c>
      <c r="C476" s="840">
        <v>1</v>
      </c>
      <c r="D476" s="838" t="s">
        <v>13</v>
      </c>
      <c r="E476" s="839">
        <v>1172590</v>
      </c>
      <c r="F476" s="839">
        <f>E476*C476</f>
        <v>1172590</v>
      </c>
      <c r="G476" s="865"/>
    </row>
    <row r="477" spans="1:7">
      <c r="A477" s="612" t="s">
        <v>149</v>
      </c>
      <c r="B477" s="612" t="s">
        <v>159</v>
      </c>
      <c r="C477" s="840">
        <v>1</v>
      </c>
      <c r="D477" s="838" t="s">
        <v>13</v>
      </c>
      <c r="E477" s="839">
        <v>4830549.2500000009</v>
      </c>
      <c r="F477" s="839">
        <f>E477*C477</f>
        <v>4830549.2500000009</v>
      </c>
      <c r="G477" s="865"/>
    </row>
    <row r="478" spans="1:7" ht="43.2">
      <c r="A478" s="612" t="s">
        <v>160</v>
      </c>
      <c r="B478" s="612" t="s">
        <v>162</v>
      </c>
      <c r="C478" s="840">
        <v>1</v>
      </c>
      <c r="D478" s="838" t="s">
        <v>13</v>
      </c>
      <c r="E478" s="839">
        <v>1434912.5306187519</v>
      </c>
      <c r="F478" s="839">
        <f>E478*C478</f>
        <v>1434912.5306187519</v>
      </c>
      <c r="G478" s="866" t="s">
        <v>163</v>
      </c>
    </row>
    <row r="479" spans="1:7">
      <c r="A479" s="612" t="s">
        <v>152</v>
      </c>
      <c r="B479" s="612" t="s">
        <v>165</v>
      </c>
      <c r="C479" s="840">
        <v>1</v>
      </c>
      <c r="D479" s="838" t="s">
        <v>13</v>
      </c>
      <c r="E479" s="839">
        <v>2750360.1</v>
      </c>
      <c r="F479" s="839">
        <f>E479*C479</f>
        <v>2750360.1</v>
      </c>
      <c r="G479" s="865"/>
    </row>
    <row r="480" spans="1:7" ht="43.2">
      <c r="A480" s="612" t="s">
        <v>166</v>
      </c>
      <c r="B480" s="612" t="s">
        <v>168</v>
      </c>
      <c r="C480" s="840">
        <v>1</v>
      </c>
      <c r="D480" s="838" t="s">
        <v>13</v>
      </c>
      <c r="E480" s="839">
        <v>1967006.0581941316</v>
      </c>
      <c r="F480" s="839">
        <f>E480*C480</f>
        <v>1967006.0581941316</v>
      </c>
      <c r="G480" s="866" t="s">
        <v>163</v>
      </c>
    </row>
    <row r="481" spans="1:7" ht="43.2">
      <c r="A481" s="612" t="s">
        <v>170</v>
      </c>
      <c r="B481" s="612" t="s">
        <v>172</v>
      </c>
      <c r="C481" s="840">
        <v>1</v>
      </c>
      <c r="D481" s="838" t="s">
        <v>13</v>
      </c>
      <c r="E481" s="839">
        <v>5481179.7892857138</v>
      </c>
      <c r="F481" s="839">
        <f>E481*C481</f>
        <v>5481179.7892857138</v>
      </c>
      <c r="G481" s="866" t="s">
        <v>163</v>
      </c>
    </row>
    <row r="482" spans="1:7" ht="43.2">
      <c r="A482" s="612" t="s">
        <v>170</v>
      </c>
      <c r="B482" s="612" t="s">
        <v>174</v>
      </c>
      <c r="C482" s="840">
        <v>1</v>
      </c>
      <c r="D482" s="838" t="s">
        <v>13</v>
      </c>
      <c r="E482" s="839">
        <v>1411748.9600000002</v>
      </c>
      <c r="F482" s="839">
        <f>E482*C482</f>
        <v>1411748.9600000002</v>
      </c>
      <c r="G482" s="868" t="s">
        <v>163</v>
      </c>
    </row>
    <row r="483" spans="1:7">
      <c r="A483" s="612" t="s">
        <v>146</v>
      </c>
      <c r="B483" s="612" t="s">
        <v>176</v>
      </c>
      <c r="C483" s="840">
        <v>1</v>
      </c>
      <c r="D483" s="838" t="s">
        <v>13</v>
      </c>
      <c r="E483" s="839">
        <v>3304482.0999999996</v>
      </c>
      <c r="F483" s="839">
        <f>E483*C483</f>
        <v>3304482.0999999996</v>
      </c>
      <c r="G483" s="865"/>
    </row>
    <row r="484" spans="1:7">
      <c r="A484" s="612" t="s">
        <v>152</v>
      </c>
      <c r="B484" s="612" t="s">
        <v>178</v>
      </c>
      <c r="C484" s="840">
        <v>1</v>
      </c>
      <c r="D484" s="838" t="s">
        <v>13</v>
      </c>
      <c r="E484" s="839">
        <v>1320147.1700000002</v>
      </c>
      <c r="F484" s="839">
        <f>E484*C484</f>
        <v>1320147.1700000002</v>
      </c>
      <c r="G484" s="865"/>
    </row>
    <row r="485" spans="1:7" ht="43.2">
      <c r="A485" s="612" t="s">
        <v>179</v>
      </c>
      <c r="B485" s="612" t="s">
        <v>181</v>
      </c>
      <c r="C485" s="840">
        <v>1</v>
      </c>
      <c r="D485" s="838" t="s">
        <v>13</v>
      </c>
      <c r="E485" s="839">
        <v>4420464.0650210418</v>
      </c>
      <c r="F485" s="839">
        <f>E485*C485</f>
        <v>4420464.0650210418</v>
      </c>
      <c r="G485" s="868" t="s">
        <v>163</v>
      </c>
    </row>
    <row r="486" spans="1:7">
      <c r="A486" s="612" t="s">
        <v>146</v>
      </c>
      <c r="B486" s="612" t="s">
        <v>183</v>
      </c>
      <c r="C486" s="840">
        <v>1</v>
      </c>
      <c r="D486" s="838" t="s">
        <v>13</v>
      </c>
      <c r="E486" s="839">
        <v>905410.52500000014</v>
      </c>
      <c r="F486" s="839">
        <f>E486*C486</f>
        <v>905410.52500000014</v>
      </c>
      <c r="G486" s="882" t="s">
        <v>163</v>
      </c>
    </row>
    <row r="487" spans="1:7">
      <c r="A487" s="612" t="s">
        <v>184</v>
      </c>
      <c r="B487" s="612" t="s">
        <v>186</v>
      </c>
      <c r="C487" s="840">
        <v>1</v>
      </c>
      <c r="D487" s="838" t="s">
        <v>13</v>
      </c>
      <c r="E487" s="839">
        <v>6943465.6674755495</v>
      </c>
      <c r="F487" s="839">
        <f>E487*C487</f>
        <v>6943465.6674755495</v>
      </c>
      <c r="G487" s="882" t="s">
        <v>163</v>
      </c>
    </row>
    <row r="488" spans="1:7">
      <c r="A488" s="612" t="s">
        <v>184</v>
      </c>
      <c r="B488" s="612" t="s">
        <v>188</v>
      </c>
      <c r="C488" s="840">
        <v>1</v>
      </c>
      <c r="D488" s="838" t="s">
        <v>13</v>
      </c>
      <c r="E488" s="839">
        <v>2742645.0000000005</v>
      </c>
      <c r="F488" s="839">
        <f>E488*C488</f>
        <v>2742645.0000000005</v>
      </c>
      <c r="G488" s="882" t="s">
        <v>163</v>
      </c>
    </row>
    <row r="489" spans="1:7">
      <c r="A489" s="612" t="s">
        <v>184</v>
      </c>
      <c r="B489" s="612" t="s">
        <v>190</v>
      </c>
      <c r="C489" s="840">
        <v>1</v>
      </c>
      <c r="D489" s="838" t="s">
        <v>13</v>
      </c>
      <c r="E489" s="839">
        <v>603120.60000000009</v>
      </c>
      <c r="F489" s="839">
        <f>E489*C489</f>
        <v>603120.60000000009</v>
      </c>
      <c r="G489" s="882" t="s">
        <v>163</v>
      </c>
    </row>
    <row r="490" spans="1:7">
      <c r="A490" s="612" t="s">
        <v>146</v>
      </c>
      <c r="B490" s="612" t="s">
        <v>192</v>
      </c>
      <c r="C490" s="840">
        <v>1</v>
      </c>
      <c r="D490" s="838" t="s">
        <v>13</v>
      </c>
      <c r="E490" s="839">
        <v>4133736.8583999993</v>
      </c>
      <c r="F490" s="839">
        <f>E490*C490</f>
        <v>4133736.8583999993</v>
      </c>
      <c r="G490" s="882" t="s">
        <v>163</v>
      </c>
    </row>
    <row r="491" spans="1:7">
      <c r="A491" s="612" t="s">
        <v>193</v>
      </c>
      <c r="B491" s="612" t="s">
        <v>195</v>
      </c>
      <c r="C491" s="840">
        <v>1</v>
      </c>
      <c r="D491" s="838" t="s">
        <v>13</v>
      </c>
      <c r="E491" s="839">
        <v>3232031.15</v>
      </c>
      <c r="F491" s="839">
        <f>E491*C491</f>
        <v>3232031.15</v>
      </c>
      <c r="G491" s="882" t="s">
        <v>163</v>
      </c>
    </row>
    <row r="492" spans="1:7" ht="43.2">
      <c r="A492" s="612" t="s">
        <v>196</v>
      </c>
      <c r="B492" s="612" t="s">
        <v>198</v>
      </c>
      <c r="C492" s="840">
        <v>1</v>
      </c>
      <c r="D492" s="838" t="s">
        <v>13</v>
      </c>
      <c r="E492" s="839">
        <v>3577099.0248461594</v>
      </c>
      <c r="F492" s="839">
        <f>E492*C492</f>
        <v>3577099.0248461594</v>
      </c>
      <c r="G492" s="868" t="s">
        <v>163</v>
      </c>
    </row>
    <row r="493" spans="1:7" ht="43.2">
      <c r="A493" s="612" t="s">
        <v>152</v>
      </c>
      <c r="B493" s="612" t="s">
        <v>200</v>
      </c>
      <c r="C493" s="840">
        <v>1</v>
      </c>
      <c r="D493" s="838" t="s">
        <v>13</v>
      </c>
      <c r="E493" s="839">
        <v>2256419.3430208368</v>
      </c>
      <c r="F493" s="839">
        <f>E493*C493</f>
        <v>2256419.3430208368</v>
      </c>
      <c r="G493" s="868" t="s">
        <v>163</v>
      </c>
    </row>
    <row r="494" spans="1:7" ht="43.2">
      <c r="A494" s="612" t="s">
        <v>152</v>
      </c>
      <c r="B494" s="612" t="s">
        <v>202</v>
      </c>
      <c r="C494" s="840">
        <v>1</v>
      </c>
      <c r="D494" s="838" t="s">
        <v>13</v>
      </c>
      <c r="E494" s="839">
        <v>1139227.8</v>
      </c>
      <c r="F494" s="839">
        <f>E494*C494</f>
        <v>1139227.8</v>
      </c>
      <c r="G494" s="868" t="s">
        <v>163</v>
      </c>
    </row>
    <row r="495" spans="1:7">
      <c r="A495" s="612" t="s">
        <v>152</v>
      </c>
      <c r="B495" s="612" t="s">
        <v>204</v>
      </c>
      <c r="C495" s="840">
        <v>1</v>
      </c>
      <c r="D495" s="838" t="s">
        <v>13</v>
      </c>
      <c r="E495" s="839">
        <v>2420854.8770485329</v>
      </c>
      <c r="F495" s="839">
        <f>E495*C495</f>
        <v>2420854.8770485329</v>
      </c>
      <c r="G495" s="865"/>
    </row>
    <row r="496" spans="1:7" ht="43.2">
      <c r="A496" s="612" t="s">
        <v>196</v>
      </c>
      <c r="B496" s="612" t="s">
        <v>206</v>
      </c>
      <c r="C496" s="840">
        <v>1</v>
      </c>
      <c r="D496" s="838" t="s">
        <v>13</v>
      </c>
      <c r="E496" s="839">
        <v>3918761.1841981066</v>
      </c>
      <c r="F496" s="839">
        <f>E496*C496</f>
        <v>3918761.1841981066</v>
      </c>
      <c r="G496" s="868" t="s">
        <v>163</v>
      </c>
    </row>
    <row r="497" spans="1:7">
      <c r="A497" s="612" t="s">
        <v>125</v>
      </c>
      <c r="B497" s="612" t="s">
        <v>208</v>
      </c>
      <c r="C497" s="840">
        <v>1</v>
      </c>
      <c r="D497" s="838" t="s">
        <v>13</v>
      </c>
      <c r="E497" s="839">
        <v>2583262.5500000003</v>
      </c>
      <c r="F497" s="839">
        <f>E497*C497</f>
        <v>2583262.5500000003</v>
      </c>
      <c r="G497" s="865"/>
    </row>
    <row r="498" spans="1:7" ht="43.2">
      <c r="A498" s="612" t="s">
        <v>196</v>
      </c>
      <c r="B498" s="612" t="s">
        <v>210</v>
      </c>
      <c r="C498" s="840">
        <v>1</v>
      </c>
      <c r="D498" s="838" t="s">
        <v>13</v>
      </c>
      <c r="E498" s="839">
        <v>5785324.0001190472</v>
      </c>
      <c r="F498" s="839">
        <f>E498*C498</f>
        <v>5785324.0001190472</v>
      </c>
      <c r="G498" s="868" t="s">
        <v>163</v>
      </c>
    </row>
    <row r="499" spans="1:7" ht="43.2">
      <c r="A499" s="612" t="s">
        <v>155</v>
      </c>
      <c r="B499" s="612" t="s">
        <v>210</v>
      </c>
      <c r="C499" s="840">
        <v>1</v>
      </c>
      <c r="D499" s="838" t="s">
        <v>13</v>
      </c>
      <c r="E499" s="839">
        <v>11570648.000238094</v>
      </c>
      <c r="F499" s="839">
        <f>E499*C499</f>
        <v>11570648.000238094</v>
      </c>
      <c r="G499" s="868" t="s">
        <v>163</v>
      </c>
    </row>
    <row r="500" spans="1:7" ht="43.2">
      <c r="A500" s="612" t="s">
        <v>196</v>
      </c>
      <c r="B500" s="612" t="s">
        <v>212</v>
      </c>
      <c r="C500" s="840">
        <v>1</v>
      </c>
      <c r="D500" s="838" t="s">
        <v>13</v>
      </c>
      <c r="E500" s="839">
        <v>563607.5</v>
      </c>
      <c r="F500" s="839">
        <f>E500*C500</f>
        <v>563607.5</v>
      </c>
      <c r="G500" s="868" t="s">
        <v>163</v>
      </c>
    </row>
    <row r="501" spans="1:7" ht="43.2">
      <c r="A501" s="612" t="s">
        <v>179</v>
      </c>
      <c r="B501" s="612" t="s">
        <v>214</v>
      </c>
      <c r="C501" s="840">
        <v>1</v>
      </c>
      <c r="D501" s="838" t="s">
        <v>13</v>
      </c>
      <c r="E501" s="839">
        <v>5725498.9000000004</v>
      </c>
      <c r="F501" s="839">
        <f>E501*C501</f>
        <v>5725498.9000000004</v>
      </c>
      <c r="G501" s="868" t="s">
        <v>163</v>
      </c>
    </row>
    <row r="502" spans="1:7">
      <c r="A502" s="612" t="s">
        <v>146</v>
      </c>
      <c r="B502" s="612" t="s">
        <v>216</v>
      </c>
      <c r="C502" s="840">
        <v>1</v>
      </c>
      <c r="D502" s="838" t="s">
        <v>13</v>
      </c>
      <c r="E502" s="839">
        <v>6101275.1400000006</v>
      </c>
      <c r="F502" s="839">
        <f>E502*C502</f>
        <v>6101275.1400000006</v>
      </c>
      <c r="G502" s="882" t="s">
        <v>163</v>
      </c>
    </row>
    <row r="503" spans="1:7" ht="144">
      <c r="A503" s="612" t="s">
        <v>217</v>
      </c>
      <c r="B503" s="612" t="s">
        <v>219</v>
      </c>
      <c r="C503" s="840">
        <v>1</v>
      </c>
      <c r="D503" s="838" t="s">
        <v>13</v>
      </c>
      <c r="E503" s="839">
        <v>788346.41249999998</v>
      </c>
      <c r="F503" s="839">
        <f>E503*C503</f>
        <v>788346.41249999998</v>
      </c>
      <c r="G503" s="868" t="s">
        <v>220</v>
      </c>
    </row>
    <row r="504" spans="1:7">
      <c r="A504" s="612" t="s">
        <v>193</v>
      </c>
      <c r="B504" s="612" t="s">
        <v>219</v>
      </c>
      <c r="C504" s="840">
        <v>1</v>
      </c>
      <c r="D504" s="838" t="s">
        <v>13</v>
      </c>
      <c r="E504" s="839">
        <v>788346.41249999998</v>
      </c>
      <c r="F504" s="839">
        <f>E504*C504</f>
        <v>788346.41249999998</v>
      </c>
      <c r="G504" s="882" t="s">
        <v>221</v>
      </c>
    </row>
    <row r="505" spans="1:7" s="873" customFormat="1" ht="24" customHeight="1">
      <c r="A505" s="869" t="s">
        <v>98</v>
      </c>
      <c r="B505" s="869" t="s">
        <v>223</v>
      </c>
      <c r="C505" s="870">
        <v>2500</v>
      </c>
      <c r="D505" s="871" t="s">
        <v>9</v>
      </c>
      <c r="E505" s="872">
        <v>670</v>
      </c>
      <c r="F505" s="872">
        <f>E505*C505</f>
        <v>1675000</v>
      </c>
      <c r="G505" s="865" t="s">
        <v>224</v>
      </c>
    </row>
    <row r="506" spans="1:7" ht="18" customHeight="1">
      <c r="A506" s="874" t="s">
        <v>193</v>
      </c>
      <c r="B506" s="874" t="s">
        <v>226</v>
      </c>
      <c r="C506" s="875">
        <v>1</v>
      </c>
      <c r="D506" s="876" t="s">
        <v>13</v>
      </c>
      <c r="E506" s="877">
        <v>1487039.1400000001</v>
      </c>
      <c r="F506" s="877">
        <f>E506*C506</f>
        <v>1487039.1400000001</v>
      </c>
      <c r="G506" s="878" t="s">
        <v>221</v>
      </c>
    </row>
    <row r="507" spans="1:7" ht="41.25" customHeight="1">
      <c r="A507" s="612" t="s">
        <v>179</v>
      </c>
      <c r="B507" s="612" t="s">
        <v>228</v>
      </c>
      <c r="C507" s="840">
        <v>1</v>
      </c>
      <c r="D507" s="838" t="s">
        <v>13</v>
      </c>
      <c r="E507" s="839">
        <v>1260865.1274999999</v>
      </c>
      <c r="F507" s="839">
        <f>E507*C507</f>
        <v>1260865.1274999999</v>
      </c>
      <c r="G507" s="868" t="s">
        <v>163</v>
      </c>
    </row>
    <row r="508" spans="1:7">
      <c r="A508" s="612" t="s">
        <v>196</v>
      </c>
      <c r="B508" s="612" t="s">
        <v>97</v>
      </c>
      <c r="C508" s="840">
        <v>1</v>
      </c>
      <c r="D508" s="838" t="s">
        <v>13</v>
      </c>
      <c r="E508" s="839">
        <v>1927970.4839999997</v>
      </c>
      <c r="F508" s="839">
        <f>E508*C508</f>
        <v>1927970.4839999997</v>
      </c>
      <c r="G508" s="865" t="s">
        <v>229</v>
      </c>
    </row>
    <row r="509" spans="1:7">
      <c r="A509" s="612" t="s">
        <v>193</v>
      </c>
      <c r="B509" s="612" t="s">
        <v>97</v>
      </c>
      <c r="C509" s="840">
        <v>1</v>
      </c>
      <c r="D509" s="838" t="s">
        <v>13</v>
      </c>
      <c r="E509" s="839">
        <v>6426568.2799999984</v>
      </c>
      <c r="F509" s="839">
        <f>E509*C509</f>
        <v>6426568.2799999984</v>
      </c>
      <c r="G509" s="865" t="s">
        <v>221</v>
      </c>
    </row>
  </sheetData>
  <phoneticPr fontId="70" type="noConversion"/>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1" width="55.44140625" customWidth="1"/>
    <col min="2" max="2" width="14.109375" customWidth="1"/>
    <col min="3" max="3" width="7.5546875" customWidth="1"/>
    <col min="4" max="4" width="10" customWidth="1"/>
    <col min="5" max="5" width="12.6640625" customWidth="1"/>
    <col min="6" max="6" width="10" customWidth="1"/>
    <col min="7" max="7" width="11.6640625" customWidth="1"/>
    <col min="8" max="8" width="10" customWidth="1"/>
    <col min="9" max="9" width="11.6640625" customWidth="1"/>
    <col min="10" max="10" width="10" customWidth="1"/>
    <col min="11" max="26" width="7.5546875" customWidth="1"/>
  </cols>
  <sheetData>
    <row r="1" spans="1:26" ht="13.5" customHeight="1">
      <c r="D1" s="605"/>
      <c r="F1" s="605"/>
      <c r="H1" s="605"/>
    </row>
    <row r="2" spans="1:26" ht="13.5" customHeight="1">
      <c r="A2" s="4" t="s">
        <v>2415</v>
      </c>
      <c r="D2" s="605"/>
      <c r="F2" s="605"/>
      <c r="H2" s="605"/>
    </row>
    <row r="3" spans="1:26" ht="13.5" customHeight="1">
      <c r="A3" s="180" t="s">
        <v>1442</v>
      </c>
      <c r="B3" s="180" t="s">
        <v>1768</v>
      </c>
      <c r="C3" s="180" t="s">
        <v>2416</v>
      </c>
      <c r="D3" s="606" t="s">
        <v>2417</v>
      </c>
      <c r="E3" s="180" t="s">
        <v>2418</v>
      </c>
      <c r="F3" s="606" t="s">
        <v>2419</v>
      </c>
      <c r="G3" s="180" t="s">
        <v>2420</v>
      </c>
      <c r="H3" s="606" t="s">
        <v>2421</v>
      </c>
      <c r="I3" s="180" t="s">
        <v>2420</v>
      </c>
      <c r="J3" s="180"/>
      <c r="K3" s="180"/>
      <c r="L3" s="180"/>
      <c r="M3" s="180"/>
      <c r="N3" s="180"/>
      <c r="O3" s="180"/>
      <c r="P3" s="180"/>
      <c r="Q3" s="180"/>
      <c r="R3" s="180"/>
      <c r="S3" s="180"/>
      <c r="T3" s="180"/>
      <c r="U3" s="180"/>
      <c r="V3" s="180"/>
      <c r="W3" s="180"/>
      <c r="X3" s="180"/>
      <c r="Y3" s="180"/>
      <c r="Z3" s="180"/>
    </row>
    <row r="4" spans="1:26" ht="13.5" customHeight="1">
      <c r="A4" s="4" t="s">
        <v>2422</v>
      </c>
      <c r="B4" s="4" t="s">
        <v>1701</v>
      </c>
      <c r="C4" s="4">
        <v>26.52</v>
      </c>
      <c r="D4" s="828">
        <v>329084.42190978955</v>
      </c>
      <c r="E4" s="151">
        <f t="shared" ref="E4:E65" si="0">D4*C4</f>
        <v>8727318.8690476194</v>
      </c>
      <c r="F4" s="605">
        <v>325778.2055864546</v>
      </c>
      <c r="G4" s="151">
        <f t="shared" ref="G4:G65" si="1">F4*C4</f>
        <v>8639638.0121527761</v>
      </c>
      <c r="H4" s="605">
        <v>332426.74039434147</v>
      </c>
      <c r="I4" s="151">
        <f t="shared" ref="I4:I65" si="2">H4*C4</f>
        <v>8815957.1552579347</v>
      </c>
      <c r="J4" s="151" t="s">
        <v>2423</v>
      </c>
    </row>
    <row r="5" spans="1:26" ht="13.5" customHeight="1">
      <c r="A5" s="4" t="s">
        <v>500</v>
      </c>
      <c r="B5" s="4" t="s">
        <v>403</v>
      </c>
      <c r="C5" s="4">
        <v>26.52</v>
      </c>
      <c r="D5" s="829">
        <v>213254.13876721897</v>
      </c>
      <c r="E5" s="151">
        <f t="shared" si="0"/>
        <v>5655499.7601066474</v>
      </c>
      <c r="F5" s="605">
        <v>213254.13876721897</v>
      </c>
      <c r="G5" s="151">
        <f t="shared" si="1"/>
        <v>5655499.7601066474</v>
      </c>
      <c r="H5" s="605">
        <v>213254.13876721897</v>
      </c>
      <c r="I5" s="151">
        <f t="shared" si="2"/>
        <v>5655499.7601066474</v>
      </c>
    </row>
    <row r="6" spans="1:26" ht="13.5" customHeight="1">
      <c r="A6" s="4" t="s">
        <v>503</v>
      </c>
      <c r="B6" s="4" t="s">
        <v>403</v>
      </c>
      <c r="C6" s="4">
        <v>26.52</v>
      </c>
      <c r="D6" s="829">
        <v>105277.85273768687</v>
      </c>
      <c r="E6" s="151">
        <f t="shared" si="0"/>
        <v>2791968.6546034557</v>
      </c>
      <c r="F6" s="605">
        <v>105277.85273768687</v>
      </c>
      <c r="G6" s="151">
        <f t="shared" si="1"/>
        <v>2791968.6546034557</v>
      </c>
      <c r="H6" s="605">
        <v>105277.85273768687</v>
      </c>
      <c r="I6" s="151">
        <f t="shared" si="2"/>
        <v>2791968.6546034557</v>
      </c>
    </row>
    <row r="7" spans="1:26" ht="13.5" customHeight="1">
      <c r="A7" s="4" t="s">
        <v>545</v>
      </c>
      <c r="B7" s="213" t="s">
        <v>403</v>
      </c>
      <c r="C7" s="4">
        <v>26.52</v>
      </c>
      <c r="D7" s="830">
        <v>49080.31674208145</v>
      </c>
      <c r="E7" s="151">
        <f t="shared" si="0"/>
        <v>1301610</v>
      </c>
      <c r="F7" s="605">
        <v>49080.31674208145</v>
      </c>
      <c r="G7" s="151">
        <f t="shared" si="1"/>
        <v>1301610</v>
      </c>
      <c r="H7" s="605">
        <v>49080.31674208145</v>
      </c>
      <c r="I7" s="151">
        <f t="shared" si="2"/>
        <v>1301610</v>
      </c>
    </row>
    <row r="8" spans="1:26" ht="13.5" customHeight="1">
      <c r="A8" s="4" t="s">
        <v>548</v>
      </c>
      <c r="B8" s="4" t="s">
        <v>403</v>
      </c>
      <c r="C8" s="4">
        <v>26.52</v>
      </c>
      <c r="D8" s="830">
        <v>182940.50480769231</v>
      </c>
      <c r="E8" s="151">
        <f t="shared" si="0"/>
        <v>4851582.1875</v>
      </c>
      <c r="F8" s="605">
        <v>195714.08371040723</v>
      </c>
      <c r="G8" s="151">
        <f t="shared" si="1"/>
        <v>5190337.5</v>
      </c>
      <c r="H8" s="605">
        <v>141792.51508295626</v>
      </c>
      <c r="I8" s="151">
        <f t="shared" si="2"/>
        <v>3760337.5</v>
      </c>
    </row>
    <row r="9" spans="1:26" ht="13.5" customHeight="1">
      <c r="A9" s="4" t="s">
        <v>553</v>
      </c>
      <c r="B9" s="4" t="s">
        <v>403</v>
      </c>
      <c r="C9" s="4">
        <v>26.52</v>
      </c>
      <c r="D9" s="830">
        <v>35485.972850678736</v>
      </c>
      <c r="E9" s="151">
        <f t="shared" si="0"/>
        <v>941088.00000000012</v>
      </c>
      <c r="F9" s="605">
        <v>35485.972850678736</v>
      </c>
      <c r="G9" s="151">
        <f t="shared" si="1"/>
        <v>941088.00000000012</v>
      </c>
      <c r="H9" s="605">
        <v>35485.972850678736</v>
      </c>
      <c r="I9" s="151">
        <f t="shared" si="2"/>
        <v>941088.00000000012</v>
      </c>
    </row>
    <row r="10" spans="1:26" ht="13.5" customHeight="1">
      <c r="A10" s="4" t="s">
        <v>458</v>
      </c>
      <c r="B10" s="4" t="s">
        <v>403</v>
      </c>
      <c r="C10" s="4">
        <v>26.52</v>
      </c>
      <c r="D10" s="831">
        <v>25658.07275768213</v>
      </c>
      <c r="E10" s="151">
        <f t="shared" si="0"/>
        <v>680452.08953373006</v>
      </c>
      <c r="F10" s="605">
        <v>115974.48886472323</v>
      </c>
      <c r="G10" s="151">
        <f t="shared" si="1"/>
        <v>3075643.4446924599</v>
      </c>
      <c r="H10" s="605">
        <v>115974.48886472323</v>
      </c>
      <c r="I10" s="151">
        <f t="shared" si="2"/>
        <v>3075643.4446924599</v>
      </c>
      <c r="J10" s="151" t="s">
        <v>2423</v>
      </c>
    </row>
    <row r="11" spans="1:26" ht="13.5" customHeight="1">
      <c r="A11" s="4" t="s">
        <v>463</v>
      </c>
      <c r="B11" s="4" t="s">
        <v>403</v>
      </c>
      <c r="C11" s="4">
        <v>26.52</v>
      </c>
      <c r="D11" s="831">
        <v>33063.543086012782</v>
      </c>
      <c r="E11" s="151">
        <f t="shared" si="0"/>
        <v>876845.16264105891</v>
      </c>
      <c r="F11" s="605">
        <v>33063.543086012782</v>
      </c>
      <c r="G11" s="151">
        <f t="shared" si="1"/>
        <v>876845.16264105891</v>
      </c>
      <c r="H11" s="605">
        <v>33063.543086012782</v>
      </c>
      <c r="I11" s="151">
        <f t="shared" si="2"/>
        <v>876845.16264105891</v>
      </c>
    </row>
    <row r="12" spans="1:26" ht="13.5" customHeight="1">
      <c r="A12" s="4" t="s">
        <v>810</v>
      </c>
      <c r="B12" s="4" t="s">
        <v>403</v>
      </c>
      <c r="C12" s="4">
        <v>26.52</v>
      </c>
      <c r="D12" s="830">
        <v>49080.31674208145</v>
      </c>
      <c r="E12" s="151">
        <f t="shared" si="0"/>
        <v>1301610</v>
      </c>
      <c r="F12" s="605">
        <v>49080.31674208145</v>
      </c>
      <c r="G12" s="151">
        <f t="shared" si="1"/>
        <v>1301610</v>
      </c>
      <c r="H12" s="605">
        <v>49080.31674208145</v>
      </c>
      <c r="I12" s="151">
        <f t="shared" si="2"/>
        <v>1301610</v>
      </c>
    </row>
    <row r="13" spans="1:26" ht="13.5" customHeight="1">
      <c r="A13" s="4" t="s">
        <v>2424</v>
      </c>
      <c r="B13" s="4" t="s">
        <v>1701</v>
      </c>
      <c r="C13" s="4">
        <v>26.52</v>
      </c>
      <c r="D13" s="828">
        <v>57330.437441736845</v>
      </c>
      <c r="E13" s="151">
        <f t="shared" si="0"/>
        <v>1520403.200954861</v>
      </c>
      <c r="F13" s="605">
        <v>72319.12522454228</v>
      </c>
      <c r="G13" s="151">
        <f t="shared" si="1"/>
        <v>1917903.2009548612</v>
      </c>
      <c r="H13" s="605">
        <v>86574.987825993099</v>
      </c>
      <c r="I13" s="151">
        <f t="shared" si="2"/>
        <v>2295968.6771453368</v>
      </c>
      <c r="J13" s="151" t="s">
        <v>2423</v>
      </c>
    </row>
    <row r="14" spans="1:26" ht="13.5" customHeight="1">
      <c r="A14" s="832" t="s">
        <v>2425</v>
      </c>
      <c r="B14" s="832" t="s">
        <v>1702</v>
      </c>
      <c r="C14" s="832">
        <v>26.52</v>
      </c>
      <c r="D14" s="828">
        <v>226245.54006298029</v>
      </c>
      <c r="E14" s="833">
        <f t="shared" si="0"/>
        <v>6000031.7224702369</v>
      </c>
      <c r="F14" s="828">
        <v>219401.64866026535</v>
      </c>
      <c r="G14" s="833">
        <f t="shared" si="1"/>
        <v>5818531.7224702369</v>
      </c>
      <c r="H14" s="828">
        <v>219401.64866026535</v>
      </c>
      <c r="I14" s="833">
        <f t="shared" si="2"/>
        <v>5818531.7224702369</v>
      </c>
    </row>
    <row r="15" spans="1:26" ht="13.5" customHeight="1">
      <c r="A15" s="4" t="s">
        <v>2426</v>
      </c>
      <c r="B15" s="4" t="s">
        <v>1701</v>
      </c>
      <c r="C15" s="4">
        <v>26.52</v>
      </c>
      <c r="D15" s="828">
        <v>138146.99054201008</v>
      </c>
      <c r="E15" s="151">
        <f t="shared" si="0"/>
        <v>3663658.1891741073</v>
      </c>
      <c r="F15" s="605">
        <v>138146.99054201008</v>
      </c>
      <c r="G15" s="151">
        <f t="shared" si="1"/>
        <v>3663658.1891741073</v>
      </c>
      <c r="H15" s="605">
        <v>138146.99054201008</v>
      </c>
      <c r="I15" s="151">
        <f t="shared" si="2"/>
        <v>3663658.1891741073</v>
      </c>
    </row>
    <row r="16" spans="1:26" ht="13.5" customHeight="1">
      <c r="A16" s="4" t="s">
        <v>480</v>
      </c>
      <c r="B16" s="4" t="s">
        <v>403</v>
      </c>
      <c r="C16" s="4">
        <v>26.52</v>
      </c>
      <c r="D16" s="831">
        <v>266313.95772451605</v>
      </c>
      <c r="E16" s="151">
        <f t="shared" si="0"/>
        <v>7062646.1588541651</v>
      </c>
      <c r="F16" s="605">
        <v>228269.10662101375</v>
      </c>
      <c r="G16" s="151">
        <f t="shared" si="1"/>
        <v>6053696.7075892845</v>
      </c>
      <c r="H16" s="605">
        <v>228269.10662101375</v>
      </c>
      <c r="I16" s="151">
        <f t="shared" si="2"/>
        <v>6053696.7075892845</v>
      </c>
    </row>
    <row r="17" spans="1:10" ht="13.5" customHeight="1">
      <c r="A17" s="4" t="s">
        <v>422</v>
      </c>
      <c r="B17" s="4" t="s">
        <v>403</v>
      </c>
      <c r="C17" s="4">
        <v>26.52</v>
      </c>
      <c r="D17" s="834">
        <v>1322826.6612601988</v>
      </c>
      <c r="E17" s="151">
        <f t="shared" si="0"/>
        <v>35081363.056620471</v>
      </c>
      <c r="F17" s="605">
        <v>893598.27591770538</v>
      </c>
      <c r="G17" s="151">
        <f t="shared" si="1"/>
        <v>23698226.277337547</v>
      </c>
      <c r="H17" s="605">
        <v>615980.38457922719</v>
      </c>
      <c r="I17" s="151">
        <f t="shared" si="2"/>
        <v>16335799.799041105</v>
      </c>
    </row>
    <row r="18" spans="1:10" ht="13.5" customHeight="1">
      <c r="A18" s="4" t="s">
        <v>2427</v>
      </c>
      <c r="B18" s="4" t="s">
        <v>403</v>
      </c>
      <c r="C18" s="4">
        <v>26.52</v>
      </c>
      <c r="D18" s="830">
        <v>82163.108031674201</v>
      </c>
      <c r="E18" s="151">
        <f t="shared" si="0"/>
        <v>2178965.625</v>
      </c>
      <c r="F18" s="605">
        <v>82163.108031674201</v>
      </c>
      <c r="G18" s="151">
        <f t="shared" si="1"/>
        <v>2178965.625</v>
      </c>
      <c r="H18" s="605">
        <v>62858.220211161388</v>
      </c>
      <c r="I18" s="151">
        <f t="shared" si="2"/>
        <v>1667000</v>
      </c>
    </row>
    <row r="19" spans="1:10" ht="13.5" customHeight="1">
      <c r="A19" s="4" t="s">
        <v>558</v>
      </c>
      <c r="B19" s="4" t="s">
        <v>403</v>
      </c>
      <c r="C19" s="4">
        <v>26.52</v>
      </c>
      <c r="D19" s="830">
        <v>41549.901803670182</v>
      </c>
      <c r="E19" s="151">
        <f t="shared" si="0"/>
        <v>1101903.3958333333</v>
      </c>
      <c r="F19" s="605">
        <v>41549.901803670182</v>
      </c>
      <c r="G19" s="151">
        <f t="shared" si="1"/>
        <v>1101903.3958333333</v>
      </c>
      <c r="H19" s="605">
        <v>41549.901803670182</v>
      </c>
      <c r="I19" s="151">
        <f t="shared" si="2"/>
        <v>1101903.3958333333</v>
      </c>
    </row>
    <row r="20" spans="1:10" ht="13.5" customHeight="1">
      <c r="A20" s="4" t="s">
        <v>2428</v>
      </c>
      <c r="B20" s="4" t="s">
        <v>1701</v>
      </c>
      <c r="C20" s="4">
        <v>26.52</v>
      </c>
      <c r="D20" s="828">
        <v>57551.95757825864</v>
      </c>
      <c r="E20" s="151">
        <f t="shared" si="0"/>
        <v>1526277.9149754192</v>
      </c>
      <c r="F20" s="605">
        <v>57551.95757825864</v>
      </c>
      <c r="G20" s="151">
        <f t="shared" si="1"/>
        <v>1526277.9149754192</v>
      </c>
      <c r="H20" s="605">
        <v>57551.95757825864</v>
      </c>
      <c r="I20" s="151">
        <f t="shared" si="2"/>
        <v>1526277.9149754192</v>
      </c>
    </row>
    <row r="21" spans="1:10" ht="13.5" customHeight="1">
      <c r="A21" s="4" t="s">
        <v>505</v>
      </c>
      <c r="B21" s="4" t="s">
        <v>403</v>
      </c>
      <c r="C21" s="4">
        <v>26.52</v>
      </c>
      <c r="D21" s="831">
        <v>39009.088357293134</v>
      </c>
      <c r="E21" s="151">
        <f t="shared" si="0"/>
        <v>1034521.0232354139</v>
      </c>
      <c r="F21" s="605">
        <v>39009.088357293134</v>
      </c>
      <c r="G21" s="151">
        <f t="shared" si="1"/>
        <v>1034521.0232354139</v>
      </c>
      <c r="H21" s="605">
        <v>39009.088357293134</v>
      </c>
      <c r="I21" s="151">
        <f t="shared" si="2"/>
        <v>1034521.0232354139</v>
      </c>
    </row>
    <row r="22" spans="1:10" ht="13.5" customHeight="1">
      <c r="A22" s="607" t="s">
        <v>562</v>
      </c>
      <c r="B22" s="607" t="s">
        <v>403</v>
      </c>
      <c r="C22" s="4">
        <v>26.52</v>
      </c>
      <c r="D22" s="830">
        <v>73167.515082956263</v>
      </c>
      <c r="E22" s="151">
        <f t="shared" si="0"/>
        <v>1940402.5</v>
      </c>
      <c r="F22" s="605">
        <v>73167.515082956263</v>
      </c>
      <c r="G22" s="151">
        <f t="shared" si="1"/>
        <v>1940402.5</v>
      </c>
      <c r="H22" s="605">
        <v>73167.515082956263</v>
      </c>
      <c r="I22" s="151">
        <f t="shared" si="2"/>
        <v>1940402.5</v>
      </c>
    </row>
    <row r="23" spans="1:10" ht="13.5" customHeight="1">
      <c r="A23" s="4" t="s">
        <v>526</v>
      </c>
      <c r="B23" s="4" t="s">
        <v>403</v>
      </c>
      <c r="C23" s="4">
        <v>26.52</v>
      </c>
      <c r="D23" s="835">
        <v>75705.608899542713</v>
      </c>
      <c r="E23" s="151">
        <f t="shared" si="0"/>
        <v>2007712.7480158727</v>
      </c>
      <c r="F23" s="605">
        <v>75705.608899542713</v>
      </c>
      <c r="G23" s="151">
        <f t="shared" si="1"/>
        <v>2007712.7480158727</v>
      </c>
      <c r="H23" s="605">
        <v>75705.608899542713</v>
      </c>
      <c r="I23" s="151">
        <f t="shared" si="2"/>
        <v>2007712.7480158727</v>
      </c>
    </row>
    <row r="24" spans="1:10" ht="13.5" customHeight="1">
      <c r="A24" s="4" t="s">
        <v>521</v>
      </c>
      <c r="B24" s="4" t="s">
        <v>403</v>
      </c>
      <c r="C24" s="4">
        <v>26.52</v>
      </c>
      <c r="D24" s="829">
        <v>90195.672235240243</v>
      </c>
      <c r="E24" s="151">
        <f t="shared" si="0"/>
        <v>2391989.2276785714</v>
      </c>
      <c r="F24" s="605">
        <v>91282.367081447956</v>
      </c>
      <c r="G24" s="151">
        <f t="shared" si="1"/>
        <v>2420808.3749999995</v>
      </c>
      <c r="H24" s="605">
        <v>92369.061927655654</v>
      </c>
      <c r="I24" s="151">
        <f t="shared" si="2"/>
        <v>2449627.5223214277</v>
      </c>
    </row>
    <row r="25" spans="1:10" ht="13.5" customHeight="1">
      <c r="A25" s="4" t="s">
        <v>2429</v>
      </c>
      <c r="B25" s="4" t="s">
        <v>403</v>
      </c>
      <c r="C25" s="4">
        <v>26.52</v>
      </c>
      <c r="D25" s="830">
        <v>82188.084355837695</v>
      </c>
      <c r="E25" s="151">
        <f t="shared" si="0"/>
        <v>2179627.9971168158</v>
      </c>
      <c r="F25" s="605">
        <v>82188.084355837695</v>
      </c>
      <c r="G25" s="151">
        <f t="shared" si="1"/>
        <v>2179627.9971168158</v>
      </c>
      <c r="H25" s="605">
        <v>82188.084355837695</v>
      </c>
      <c r="I25" s="151">
        <f t="shared" si="2"/>
        <v>2179627.9971168158</v>
      </c>
    </row>
    <row r="26" spans="1:10" ht="13.5" customHeight="1">
      <c r="A26" s="4" t="s">
        <v>402</v>
      </c>
      <c r="B26" s="4" t="s">
        <v>403</v>
      </c>
      <c r="C26" s="4">
        <v>26.52</v>
      </c>
      <c r="D26" s="830">
        <v>34052.19409879337</v>
      </c>
      <c r="E26" s="151">
        <f t="shared" si="0"/>
        <v>903064.18750000012</v>
      </c>
      <c r="F26" s="605">
        <v>29134.244202488688</v>
      </c>
      <c r="G26" s="151">
        <f t="shared" si="1"/>
        <v>772640.15625</v>
      </c>
      <c r="H26" s="605">
        <v>4470.0285162141772</v>
      </c>
      <c r="I26" s="151">
        <f t="shared" si="2"/>
        <v>118545.15624999997</v>
      </c>
    </row>
    <row r="27" spans="1:10" ht="13.5" customHeight="1">
      <c r="A27" s="182" t="s">
        <v>441</v>
      </c>
      <c r="B27" s="4" t="s">
        <v>403</v>
      </c>
      <c r="C27" s="4">
        <v>26.52</v>
      </c>
      <c r="D27" s="836">
        <v>21940.660174207387</v>
      </c>
      <c r="E27" s="151">
        <f t="shared" si="0"/>
        <v>581866.30781997985</v>
      </c>
      <c r="F27" s="605">
        <v>21940.660174207387</v>
      </c>
      <c r="G27" s="151">
        <f t="shared" si="1"/>
        <v>581866.30781997985</v>
      </c>
      <c r="H27" s="605">
        <v>21940.660174207387</v>
      </c>
      <c r="I27" s="151">
        <f t="shared" si="2"/>
        <v>581866.30781997985</v>
      </c>
    </row>
    <row r="28" spans="1:10" ht="13.5" customHeight="1">
      <c r="A28" s="4" t="s">
        <v>469</v>
      </c>
      <c r="B28" s="4" t="s">
        <v>403</v>
      </c>
      <c r="C28" s="4">
        <v>26.52</v>
      </c>
      <c r="D28" s="831">
        <v>52070.79471411962</v>
      </c>
      <c r="E28" s="151">
        <f t="shared" si="0"/>
        <v>1380917.4758184522</v>
      </c>
      <c r="F28" s="605">
        <v>52070.79471411962</v>
      </c>
      <c r="G28" s="151">
        <f t="shared" si="1"/>
        <v>1380917.4758184522</v>
      </c>
      <c r="H28" s="605">
        <v>52070.79471411962</v>
      </c>
      <c r="I28" s="151">
        <f t="shared" si="2"/>
        <v>1380917.4758184522</v>
      </c>
    </row>
    <row r="29" spans="1:10" ht="13.5" customHeight="1">
      <c r="A29" s="832" t="s">
        <v>454</v>
      </c>
      <c r="B29" s="4" t="s">
        <v>403</v>
      </c>
      <c r="C29" s="4">
        <v>26.52</v>
      </c>
      <c r="D29" s="836">
        <v>93106.179173344353</v>
      </c>
      <c r="E29" s="151">
        <f t="shared" si="0"/>
        <v>2469175.8716770923</v>
      </c>
      <c r="F29" s="605">
        <v>93106.179173344353</v>
      </c>
      <c r="G29" s="151">
        <f t="shared" si="1"/>
        <v>2469175.8716770923</v>
      </c>
      <c r="H29" s="605">
        <v>93106.179173344353</v>
      </c>
      <c r="I29" s="151">
        <f t="shared" si="2"/>
        <v>2469175.8716770923</v>
      </c>
    </row>
    <row r="30" spans="1:10" ht="13.5" customHeight="1">
      <c r="A30" s="832" t="s">
        <v>432</v>
      </c>
      <c r="B30" s="4" t="s">
        <v>403</v>
      </c>
      <c r="C30" s="4">
        <v>26.52</v>
      </c>
      <c r="D30" s="836">
        <v>179102.45152909425</v>
      </c>
      <c r="E30" s="151">
        <f t="shared" si="0"/>
        <v>4749797.014551579</v>
      </c>
      <c r="F30" s="605">
        <v>173823.41683829486</v>
      </c>
      <c r="G30" s="151">
        <f t="shared" si="1"/>
        <v>4609797.01455158</v>
      </c>
      <c r="H30" s="605">
        <v>173823.41683829486</v>
      </c>
      <c r="I30" s="151">
        <f t="shared" si="2"/>
        <v>4609797.01455158</v>
      </c>
      <c r="J30" s="111" t="s">
        <v>2430</v>
      </c>
    </row>
    <row r="31" spans="1:10" ht="13.5" customHeight="1">
      <c r="A31" s="832" t="s">
        <v>438</v>
      </c>
      <c r="B31" s="4" t="s">
        <v>403</v>
      </c>
      <c r="C31" s="4">
        <v>26.52</v>
      </c>
      <c r="D31" s="836">
        <v>148971.88968897358</v>
      </c>
      <c r="E31" s="151">
        <f t="shared" si="0"/>
        <v>3950734.514551579</v>
      </c>
      <c r="F31" s="605">
        <v>146709.44625005955</v>
      </c>
      <c r="G31" s="151">
        <f t="shared" si="1"/>
        <v>3890734.5145515795</v>
      </c>
      <c r="H31" s="605">
        <v>146709.44625005955</v>
      </c>
      <c r="I31" s="151">
        <f t="shared" si="2"/>
        <v>3890734.5145515795</v>
      </c>
    </row>
    <row r="32" spans="1:10" ht="13.5" customHeight="1">
      <c r="A32" s="4" t="s">
        <v>412</v>
      </c>
      <c r="B32" s="4" t="s">
        <v>403</v>
      </c>
      <c r="C32" s="4">
        <v>26.52</v>
      </c>
      <c r="D32" s="834">
        <v>1930626.3042017792</v>
      </c>
      <c r="E32" s="151">
        <f t="shared" si="0"/>
        <v>51200209.587431185</v>
      </c>
      <c r="F32" s="605">
        <v>1338457.3697979092</v>
      </c>
      <c r="G32" s="151">
        <f t="shared" si="1"/>
        <v>35495889.44704055</v>
      </c>
      <c r="H32" s="605">
        <v>947081.34993328247</v>
      </c>
      <c r="I32" s="151">
        <f t="shared" si="2"/>
        <v>25116597.40023065</v>
      </c>
    </row>
    <row r="33" spans="1:11" ht="13.5" customHeight="1">
      <c r="A33" s="4" t="s">
        <v>2431</v>
      </c>
      <c r="B33" s="4" t="s">
        <v>1701</v>
      </c>
      <c r="C33" s="4">
        <v>26.52</v>
      </c>
      <c r="D33" s="828">
        <v>89604.940675856342</v>
      </c>
      <c r="E33" s="151">
        <f t="shared" si="0"/>
        <v>2376323.0267237104</v>
      </c>
      <c r="F33" s="605">
        <v>89604.940675856342</v>
      </c>
      <c r="G33" s="151">
        <f t="shared" si="1"/>
        <v>2376323.0267237104</v>
      </c>
      <c r="H33" s="605">
        <v>44802.470337928171</v>
      </c>
      <c r="I33" s="151">
        <f t="shared" si="2"/>
        <v>1188161.5133618552</v>
      </c>
    </row>
    <row r="34" spans="1:11" ht="13.5" customHeight="1">
      <c r="A34" s="4" t="s">
        <v>565</v>
      </c>
      <c r="B34" s="4" t="s">
        <v>403</v>
      </c>
      <c r="C34" s="4">
        <v>26.52</v>
      </c>
      <c r="D34" s="830">
        <v>52898.306023675097</v>
      </c>
      <c r="E34" s="151">
        <f t="shared" si="0"/>
        <v>1402863.0757478636</v>
      </c>
      <c r="F34" s="605">
        <v>52898.306023675097</v>
      </c>
      <c r="G34" s="151">
        <f t="shared" si="1"/>
        <v>1402863.0757478636</v>
      </c>
      <c r="H34" s="605">
        <v>51390.010397732411</v>
      </c>
      <c r="I34" s="151">
        <f t="shared" si="2"/>
        <v>1362863.0757478636</v>
      </c>
    </row>
    <row r="35" spans="1:11" ht="13.5" customHeight="1">
      <c r="A35" s="4" t="s">
        <v>567</v>
      </c>
      <c r="B35" s="4" t="s">
        <v>403</v>
      </c>
      <c r="C35" s="4">
        <v>26.52</v>
      </c>
      <c r="D35" s="830">
        <v>136026.86651583712</v>
      </c>
      <c r="E35" s="151">
        <f t="shared" si="0"/>
        <v>3607432.5</v>
      </c>
      <c r="F35" s="605">
        <v>143040.67684766214</v>
      </c>
      <c r="G35" s="151">
        <f t="shared" si="1"/>
        <v>3793438.75</v>
      </c>
      <c r="H35" s="605">
        <v>149518.66515837103</v>
      </c>
      <c r="I35" s="151">
        <f t="shared" si="2"/>
        <v>3965234.9999999995</v>
      </c>
    </row>
    <row r="36" spans="1:11" ht="13.5" customHeight="1">
      <c r="A36" s="729" t="s">
        <v>472</v>
      </c>
      <c r="B36" s="4" t="s">
        <v>403</v>
      </c>
      <c r="C36" s="4">
        <v>26.52</v>
      </c>
      <c r="D36" s="829">
        <v>72347.433850018206</v>
      </c>
      <c r="E36" s="151">
        <f t="shared" si="0"/>
        <v>1918653.9457024827</v>
      </c>
      <c r="F36" s="605">
        <v>103353.47692859743</v>
      </c>
      <c r="G36" s="151">
        <f t="shared" si="1"/>
        <v>2740934.208146404</v>
      </c>
      <c r="H36" s="605">
        <v>103353.47692859743</v>
      </c>
      <c r="I36" s="151">
        <f t="shared" si="2"/>
        <v>2740934.208146404</v>
      </c>
    </row>
    <row r="37" spans="1:11" ht="13.5" customHeight="1">
      <c r="A37" s="4" t="s">
        <v>489</v>
      </c>
      <c r="B37" s="4" t="s">
        <v>403</v>
      </c>
      <c r="C37" s="4">
        <v>26.52</v>
      </c>
      <c r="D37" s="829">
        <v>211104.47021447547</v>
      </c>
      <c r="E37" s="151">
        <f t="shared" si="0"/>
        <v>5598490.5500878897</v>
      </c>
      <c r="F37" s="605">
        <v>211104.47021447547</v>
      </c>
      <c r="G37" s="151">
        <f t="shared" si="1"/>
        <v>5598490.5500878897</v>
      </c>
      <c r="H37" s="605">
        <v>211104.47021447547</v>
      </c>
      <c r="I37" s="151">
        <f t="shared" si="2"/>
        <v>5598490.5500878897</v>
      </c>
    </row>
    <row r="38" spans="1:11" ht="13.5" customHeight="1">
      <c r="A38" s="4" t="s">
        <v>2432</v>
      </c>
      <c r="B38" s="4" t="s">
        <v>1701</v>
      </c>
      <c r="C38" s="4">
        <v>26.52</v>
      </c>
      <c r="D38" s="828">
        <v>42502.634520094849</v>
      </c>
      <c r="E38" s="151">
        <f t="shared" si="0"/>
        <v>1127169.8674729154</v>
      </c>
      <c r="F38" s="605">
        <v>42502.634520094849</v>
      </c>
      <c r="G38" s="151">
        <f t="shared" si="1"/>
        <v>1127169.8674729154</v>
      </c>
      <c r="H38" s="605">
        <v>42502.634520094849</v>
      </c>
      <c r="I38" s="151">
        <f t="shared" si="2"/>
        <v>1127169.8674729154</v>
      </c>
    </row>
    <row r="39" spans="1:11" ht="13.5" customHeight="1">
      <c r="A39" s="4" t="s">
        <v>492</v>
      </c>
      <c r="B39" s="4" t="s">
        <v>403</v>
      </c>
      <c r="C39" s="4">
        <v>26.52</v>
      </c>
      <c r="D39" s="829">
        <v>84932.080430589398</v>
      </c>
      <c r="E39" s="151">
        <f t="shared" si="0"/>
        <v>2252398.7730192309</v>
      </c>
      <c r="F39" s="605">
        <v>84932.080430589398</v>
      </c>
      <c r="G39" s="151">
        <f t="shared" si="1"/>
        <v>2252398.7730192309</v>
      </c>
      <c r="H39" s="605">
        <v>84932.080430589398</v>
      </c>
      <c r="I39" s="151">
        <f t="shared" si="2"/>
        <v>2252398.7730192309</v>
      </c>
    </row>
    <row r="40" spans="1:11" ht="13.5" customHeight="1">
      <c r="A40" s="4" t="s">
        <v>2433</v>
      </c>
      <c r="B40" s="4" t="s">
        <v>403</v>
      </c>
      <c r="C40" s="4">
        <v>26.52</v>
      </c>
      <c r="D40" s="830">
        <v>253452.57964117409</v>
      </c>
      <c r="E40" s="151">
        <f t="shared" si="0"/>
        <v>6721562.4120839369</v>
      </c>
      <c r="F40" s="605">
        <v>249055.89789155117</v>
      </c>
      <c r="G40" s="151">
        <f t="shared" si="1"/>
        <v>6604962.4120839369</v>
      </c>
      <c r="H40" s="605">
        <v>186791.92341866338</v>
      </c>
      <c r="I40" s="151">
        <f t="shared" si="2"/>
        <v>4953721.8090629531</v>
      </c>
    </row>
    <row r="41" spans="1:11" ht="13.5" customHeight="1">
      <c r="A41" s="4" t="s">
        <v>445</v>
      </c>
      <c r="B41" s="4" t="s">
        <v>403</v>
      </c>
      <c r="C41" s="4">
        <v>26.52</v>
      </c>
      <c r="D41" s="834">
        <v>58719.034541529356</v>
      </c>
      <c r="E41" s="151">
        <f t="shared" si="0"/>
        <v>1557228.7960413585</v>
      </c>
      <c r="F41" s="605">
        <v>58719.034541529356</v>
      </c>
      <c r="G41" s="151">
        <f t="shared" si="1"/>
        <v>1557228.7960413585</v>
      </c>
      <c r="H41" s="605">
        <v>58719.034541529356</v>
      </c>
      <c r="I41" s="151">
        <f t="shared" si="2"/>
        <v>1557228.7960413585</v>
      </c>
    </row>
    <row r="42" spans="1:11" ht="13.5" customHeight="1">
      <c r="A42" s="4" t="s">
        <v>465</v>
      </c>
      <c r="B42" s="4" t="s">
        <v>403</v>
      </c>
      <c r="C42" s="4">
        <v>26.52</v>
      </c>
      <c r="D42" s="605">
        <v>0</v>
      </c>
      <c r="E42" s="151">
        <f t="shared" si="0"/>
        <v>0</v>
      </c>
      <c r="F42" s="605">
        <v>5382.6013516124349</v>
      </c>
      <c r="G42" s="151">
        <f t="shared" si="1"/>
        <v>142746.58784476176</v>
      </c>
      <c r="H42" s="605">
        <v>53826.01351612436</v>
      </c>
      <c r="I42" s="151">
        <f t="shared" si="2"/>
        <v>1427465.8784476181</v>
      </c>
    </row>
    <row r="43" spans="1:11" ht="13.5" customHeight="1">
      <c r="A43" s="4" t="s">
        <v>517</v>
      </c>
      <c r="B43" s="4" t="s">
        <v>403</v>
      </c>
      <c r="C43" s="4">
        <v>26.52</v>
      </c>
      <c r="D43" s="831">
        <v>45165.36548394883</v>
      </c>
      <c r="E43" s="151">
        <f t="shared" si="0"/>
        <v>1197785.492634323</v>
      </c>
      <c r="F43" s="605">
        <v>45165.36548394883</v>
      </c>
      <c r="G43" s="151">
        <f t="shared" si="1"/>
        <v>1197785.492634323</v>
      </c>
      <c r="H43" s="605">
        <v>45165.36548394883</v>
      </c>
      <c r="I43" s="151">
        <f t="shared" si="2"/>
        <v>1197785.492634323</v>
      </c>
    </row>
    <row r="44" spans="1:11" ht="13.5" customHeight="1">
      <c r="A44" s="4" t="s">
        <v>1284</v>
      </c>
      <c r="B44" s="4" t="s">
        <v>403</v>
      </c>
      <c r="C44" s="4">
        <v>26.52</v>
      </c>
      <c r="D44" s="835">
        <v>33773.937786920324</v>
      </c>
      <c r="E44" s="151">
        <f t="shared" si="0"/>
        <v>895684.83010912698</v>
      </c>
      <c r="F44" s="605">
        <v>30837.073631535946</v>
      </c>
      <c r="G44" s="151">
        <f t="shared" si="1"/>
        <v>817799.19270833326</v>
      </c>
      <c r="H44" s="605">
        <v>27900.209476151569</v>
      </c>
      <c r="I44" s="151">
        <f t="shared" si="2"/>
        <v>739913.55530753965</v>
      </c>
    </row>
    <row r="45" spans="1:11" ht="13.5" customHeight="1">
      <c r="A45" s="4" t="s">
        <v>2434</v>
      </c>
      <c r="B45" s="4" t="s">
        <v>1701</v>
      </c>
      <c r="C45" s="4">
        <v>26.52</v>
      </c>
      <c r="D45" s="828">
        <v>178300.59925713073</v>
      </c>
      <c r="E45" s="151">
        <f t="shared" si="0"/>
        <v>4728531.8922991073</v>
      </c>
      <c r="F45" s="605">
        <v>178300.59925713073</v>
      </c>
      <c r="G45" s="151">
        <f t="shared" si="1"/>
        <v>4728531.8922991073</v>
      </c>
      <c r="H45" s="605">
        <v>178300.59925713073</v>
      </c>
      <c r="I45" s="151">
        <f t="shared" si="2"/>
        <v>4728531.8922991073</v>
      </c>
    </row>
    <row r="46" spans="1:11" ht="13.5" customHeight="1">
      <c r="A46" s="111" t="s">
        <v>427</v>
      </c>
      <c r="B46" s="4" t="s">
        <v>403</v>
      </c>
      <c r="C46" s="4">
        <v>26.52</v>
      </c>
      <c r="D46" s="834">
        <v>78578.390045226392</v>
      </c>
      <c r="E46" s="151">
        <f t="shared" si="0"/>
        <v>2083898.9039994038</v>
      </c>
      <c r="F46" s="605">
        <v>50221.933976228604</v>
      </c>
      <c r="G46" s="151">
        <f t="shared" si="1"/>
        <v>1331885.6890495825</v>
      </c>
      <c r="H46" s="605">
        <v>35872.80998302043</v>
      </c>
      <c r="I46" s="151">
        <f t="shared" si="2"/>
        <v>951346.92074970179</v>
      </c>
      <c r="J46" s="151" t="s">
        <v>2423</v>
      </c>
      <c r="K46" s="608"/>
    </row>
    <row r="47" spans="1:11" ht="13.5" customHeight="1">
      <c r="A47" s="4" t="s">
        <v>530</v>
      </c>
      <c r="B47" s="4" t="s">
        <v>403</v>
      </c>
      <c r="C47" s="4">
        <v>26.52</v>
      </c>
      <c r="D47" s="831">
        <v>39006.86405656892</v>
      </c>
      <c r="E47" s="151">
        <f t="shared" si="0"/>
        <v>1034462.0347802078</v>
      </c>
      <c r="F47" s="605">
        <v>39006.86405656892</v>
      </c>
      <c r="G47" s="151">
        <f t="shared" si="1"/>
        <v>1034462.0347802078</v>
      </c>
      <c r="H47" s="605">
        <v>33434.454905630504</v>
      </c>
      <c r="I47" s="151">
        <f t="shared" si="2"/>
        <v>886681.74409732095</v>
      </c>
    </row>
    <row r="48" spans="1:11" ht="13.5" customHeight="1">
      <c r="A48" s="4" t="s">
        <v>484</v>
      </c>
      <c r="B48" s="4" t="s">
        <v>403</v>
      </c>
      <c r="C48" s="4">
        <v>26.52</v>
      </c>
      <c r="D48" s="829">
        <v>496746.50235544937</v>
      </c>
      <c r="E48" s="151">
        <f t="shared" si="0"/>
        <v>13173717.242466517</v>
      </c>
      <c r="F48" s="605">
        <v>512972.19260901475</v>
      </c>
      <c r="G48" s="151">
        <f t="shared" si="1"/>
        <v>13604022.547991071</v>
      </c>
      <c r="H48" s="605">
        <v>529197.88286258013</v>
      </c>
      <c r="I48" s="151">
        <f t="shared" si="2"/>
        <v>14034327.853515625</v>
      </c>
    </row>
    <row r="49" spans="1:10" ht="13.5" customHeight="1">
      <c r="A49" s="4" t="s">
        <v>576</v>
      </c>
      <c r="B49" s="4" t="s">
        <v>403</v>
      </c>
      <c r="C49" s="4">
        <v>26.52</v>
      </c>
      <c r="D49" s="830">
        <v>87110.0584464555</v>
      </c>
      <c r="E49" s="151">
        <f t="shared" si="0"/>
        <v>2310158.75</v>
      </c>
      <c r="F49" s="605">
        <v>87110.0584464555</v>
      </c>
      <c r="G49" s="151">
        <f t="shared" si="1"/>
        <v>2310158.75</v>
      </c>
      <c r="H49" s="605">
        <v>87110.0584464555</v>
      </c>
      <c r="I49" s="151">
        <f t="shared" si="2"/>
        <v>2310158.75</v>
      </c>
    </row>
    <row r="50" spans="1:10" ht="13.5" customHeight="1">
      <c r="A50" s="4" t="s">
        <v>579</v>
      </c>
      <c r="B50" s="4" t="s">
        <v>403</v>
      </c>
      <c r="C50" s="4">
        <v>26.52</v>
      </c>
      <c r="D50" s="830">
        <v>36439.969834087482</v>
      </c>
      <c r="E50" s="151">
        <f t="shared" si="0"/>
        <v>966388</v>
      </c>
      <c r="F50" s="605">
        <v>36439.969834087482</v>
      </c>
      <c r="G50" s="151">
        <f t="shared" si="1"/>
        <v>966388</v>
      </c>
      <c r="H50" s="605">
        <v>36439.969834087482</v>
      </c>
      <c r="I50" s="151">
        <f t="shared" si="2"/>
        <v>966388</v>
      </c>
    </row>
    <row r="51" spans="1:10" ht="13.5" customHeight="1">
      <c r="A51" s="4" t="s">
        <v>496</v>
      </c>
      <c r="B51" s="4" t="s">
        <v>403</v>
      </c>
      <c r="C51" s="4">
        <v>26.52</v>
      </c>
      <c r="D51" s="829">
        <v>265910.80778264831</v>
      </c>
      <c r="E51" s="151">
        <f t="shared" si="0"/>
        <v>7051954.622395833</v>
      </c>
      <c r="F51" s="605">
        <v>265910.80778264831</v>
      </c>
      <c r="G51" s="151">
        <f t="shared" si="1"/>
        <v>7051954.622395833</v>
      </c>
      <c r="H51" s="605">
        <v>265910.80778264831</v>
      </c>
      <c r="I51" s="151">
        <f t="shared" si="2"/>
        <v>7051954.622395833</v>
      </c>
    </row>
    <row r="52" spans="1:10" ht="13.5" customHeight="1">
      <c r="A52" s="4" t="s">
        <v>582</v>
      </c>
      <c r="B52" s="4" t="s">
        <v>403</v>
      </c>
      <c r="C52" s="4">
        <v>26.52</v>
      </c>
      <c r="D52" s="830">
        <v>123662.45325854702</v>
      </c>
      <c r="E52" s="151">
        <f t="shared" si="0"/>
        <v>3279528.260416667</v>
      </c>
      <c r="F52" s="605">
        <v>123662.45325854702</v>
      </c>
      <c r="G52" s="151">
        <f t="shared" si="1"/>
        <v>3279528.260416667</v>
      </c>
      <c r="H52" s="605">
        <v>123662.45325854702</v>
      </c>
      <c r="I52" s="151">
        <f t="shared" si="2"/>
        <v>3279528.260416667</v>
      </c>
    </row>
    <row r="53" spans="1:10" ht="13.5" customHeight="1">
      <c r="A53" s="4" t="s">
        <v>585</v>
      </c>
      <c r="B53" s="4" t="s">
        <v>403</v>
      </c>
      <c r="C53" s="4">
        <v>26.52</v>
      </c>
      <c r="D53" s="834">
        <v>75710.701828808451</v>
      </c>
      <c r="E53" s="151">
        <f t="shared" si="0"/>
        <v>2007847.8125</v>
      </c>
      <c r="F53" s="605">
        <v>40770.75084841629</v>
      </c>
      <c r="G53" s="151">
        <f t="shared" si="1"/>
        <v>1081240.3125</v>
      </c>
      <c r="H53" s="605">
        <v>24885.428450226245</v>
      </c>
      <c r="I53" s="151">
        <f t="shared" si="2"/>
        <v>659961.5625</v>
      </c>
    </row>
    <row r="54" spans="1:10" ht="13.5" customHeight="1">
      <c r="A54" s="4" t="s">
        <v>587</v>
      </c>
      <c r="B54" s="4" t="s">
        <v>403</v>
      </c>
      <c r="C54" s="4">
        <v>26.52</v>
      </c>
      <c r="D54" s="830">
        <v>198775.11076546003</v>
      </c>
      <c r="E54" s="151">
        <f t="shared" si="0"/>
        <v>5271515.9375</v>
      </c>
      <c r="F54" s="605">
        <v>190826.97728129715</v>
      </c>
      <c r="G54" s="151">
        <f t="shared" si="1"/>
        <v>5060731.4375</v>
      </c>
      <c r="H54" s="605">
        <v>190826.97728129715</v>
      </c>
      <c r="I54" s="151">
        <f t="shared" si="2"/>
        <v>5060731.4375</v>
      </c>
    </row>
    <row r="55" spans="1:10" ht="13.5" customHeight="1">
      <c r="A55" s="4" t="s">
        <v>595</v>
      </c>
      <c r="B55" s="213" t="s">
        <v>403</v>
      </c>
      <c r="C55" s="4">
        <v>26.52</v>
      </c>
      <c r="D55" s="830">
        <v>119667.5813065611</v>
      </c>
      <c r="E55" s="151">
        <f t="shared" si="0"/>
        <v>3173584.2562500001</v>
      </c>
      <c r="F55" s="605">
        <v>108709.39262828113</v>
      </c>
      <c r="G55" s="151">
        <f t="shared" si="1"/>
        <v>2882973.0925020156</v>
      </c>
      <c r="H55" s="605">
        <v>108709.39262828113</v>
      </c>
      <c r="I55" s="151">
        <f t="shared" si="2"/>
        <v>2882973.0925020156</v>
      </c>
    </row>
    <row r="56" spans="1:10" ht="13.5" customHeight="1">
      <c r="A56" s="4" t="s">
        <v>597</v>
      </c>
      <c r="B56" s="4" t="s">
        <v>403</v>
      </c>
      <c r="C56" s="4">
        <v>26.52</v>
      </c>
      <c r="D56" s="830">
        <v>88937.018052413288</v>
      </c>
      <c r="E56" s="151">
        <f t="shared" si="0"/>
        <v>2358609.7187500005</v>
      </c>
      <c r="F56" s="605">
        <v>85908.313301282062</v>
      </c>
      <c r="G56" s="151">
        <f t="shared" si="1"/>
        <v>2278288.4687500005</v>
      </c>
      <c r="H56" s="605">
        <v>85908.313301282062</v>
      </c>
      <c r="I56" s="151">
        <f t="shared" si="2"/>
        <v>2278288.4687500005</v>
      </c>
    </row>
    <row r="57" spans="1:10" ht="13.5" customHeight="1">
      <c r="A57" s="4" t="s">
        <v>599</v>
      </c>
      <c r="B57" s="4" t="s">
        <v>403</v>
      </c>
      <c r="C57" s="4">
        <v>26.52</v>
      </c>
      <c r="D57" s="830">
        <v>91403.423909627949</v>
      </c>
      <c r="E57" s="151">
        <f t="shared" si="0"/>
        <v>2424018.802083333</v>
      </c>
      <c r="F57" s="605">
        <v>91811.851511437897</v>
      </c>
      <c r="G57" s="151">
        <f t="shared" si="1"/>
        <v>2434850.302083333</v>
      </c>
      <c r="H57" s="605">
        <v>92589.604150955245</v>
      </c>
      <c r="I57" s="151">
        <f t="shared" si="2"/>
        <v>2455476.302083333</v>
      </c>
    </row>
    <row r="58" spans="1:10" ht="13.5" customHeight="1">
      <c r="A58" s="4" t="s">
        <v>601</v>
      </c>
      <c r="B58" s="4" t="s">
        <v>403</v>
      </c>
      <c r="C58" s="4">
        <v>26.52</v>
      </c>
      <c r="D58" s="830">
        <v>60415.415645424837</v>
      </c>
      <c r="E58" s="151">
        <f t="shared" si="0"/>
        <v>1602216.8229166667</v>
      </c>
      <c r="F58" s="605">
        <v>60415.415645424837</v>
      </c>
      <c r="G58" s="151">
        <f t="shared" si="1"/>
        <v>1602216.8229166667</v>
      </c>
      <c r="H58" s="605">
        <v>60415.415645424837</v>
      </c>
      <c r="I58" s="151">
        <f t="shared" si="2"/>
        <v>1602216.8229166667</v>
      </c>
    </row>
    <row r="59" spans="1:10" ht="13.5" customHeight="1">
      <c r="A59" s="4" t="s">
        <v>537</v>
      </c>
      <c r="B59" s="4" t="s">
        <v>403</v>
      </c>
      <c r="C59" s="4">
        <v>26.52</v>
      </c>
      <c r="D59" s="829">
        <v>217484.42684766211</v>
      </c>
      <c r="E59" s="151">
        <f t="shared" si="0"/>
        <v>5767686.9999999991</v>
      </c>
      <c r="F59" s="605">
        <v>176270.14522749712</v>
      </c>
      <c r="G59" s="151">
        <f t="shared" si="1"/>
        <v>4674684.2514332235</v>
      </c>
      <c r="H59" s="605">
        <v>108429.16666666667</v>
      </c>
      <c r="I59" s="151">
        <f t="shared" si="2"/>
        <v>2875541.5</v>
      </c>
    </row>
    <row r="60" spans="1:10" ht="13.5" customHeight="1">
      <c r="A60" s="4" t="s">
        <v>606</v>
      </c>
      <c r="B60" s="4" t="s">
        <v>403</v>
      </c>
      <c r="C60" s="4">
        <v>26.52</v>
      </c>
      <c r="D60" s="830">
        <v>175849.71719457017</v>
      </c>
      <c r="E60" s="151">
        <f t="shared" si="0"/>
        <v>4663534.5000000009</v>
      </c>
      <c r="F60" s="605">
        <v>0</v>
      </c>
      <c r="G60" s="151">
        <f t="shared" si="1"/>
        <v>0</v>
      </c>
      <c r="H60" s="605">
        <v>0</v>
      </c>
      <c r="I60" s="151">
        <f t="shared" si="2"/>
        <v>0</v>
      </c>
    </row>
    <row r="61" spans="1:10" ht="13.5" customHeight="1">
      <c r="A61" s="111" t="s">
        <v>611</v>
      </c>
      <c r="B61" s="4" t="s">
        <v>403</v>
      </c>
      <c r="C61" s="4">
        <v>26.52</v>
      </c>
      <c r="D61" s="830">
        <v>98755.492317119148</v>
      </c>
      <c r="E61" s="151">
        <f t="shared" si="0"/>
        <v>2618995.6562499995</v>
      </c>
      <c r="F61" s="605">
        <v>95738.901065233789</v>
      </c>
      <c r="G61" s="151">
        <f t="shared" si="1"/>
        <v>2538995.65625</v>
      </c>
      <c r="H61" s="605">
        <v>95738.901065233789</v>
      </c>
      <c r="I61" s="151">
        <f t="shared" si="2"/>
        <v>2538995.65625</v>
      </c>
    </row>
    <row r="62" spans="1:10" ht="13.5" customHeight="1">
      <c r="A62" s="4" t="s">
        <v>448</v>
      </c>
      <c r="B62" s="4" t="s">
        <v>403</v>
      </c>
      <c r="C62" s="4">
        <v>26.52</v>
      </c>
      <c r="D62" s="834">
        <v>130844.50041565104</v>
      </c>
      <c r="E62" s="151">
        <f t="shared" si="0"/>
        <v>3469996.1510230657</v>
      </c>
      <c r="F62" s="605">
        <v>87251.962066308901</v>
      </c>
      <c r="G62" s="151">
        <f t="shared" si="1"/>
        <v>2313922.0339985122</v>
      </c>
      <c r="H62" s="605">
        <v>62420.769335670957</v>
      </c>
      <c r="I62" s="151">
        <f t="shared" si="2"/>
        <v>1655398.8027819938</v>
      </c>
      <c r="J62" s="151" t="s">
        <v>2423</v>
      </c>
    </row>
    <row r="63" spans="1:10" ht="13.5" customHeight="1">
      <c r="A63" s="4" t="s">
        <v>615</v>
      </c>
      <c r="B63" s="4" t="s">
        <v>403</v>
      </c>
      <c r="C63" s="4">
        <v>26.52</v>
      </c>
      <c r="D63" s="830">
        <f>D69</f>
        <v>4274.3589743589746</v>
      </c>
      <c r="E63" s="151">
        <f t="shared" si="0"/>
        <v>113356</v>
      </c>
      <c r="F63" s="605">
        <f>F69</f>
        <v>3897.2096530920062</v>
      </c>
      <c r="G63" s="151">
        <f t="shared" si="1"/>
        <v>103354</v>
      </c>
      <c r="H63" s="605">
        <f>H69</f>
        <v>4022.9260935143288</v>
      </c>
      <c r="I63" s="151">
        <f t="shared" si="2"/>
        <v>106688</v>
      </c>
    </row>
    <row r="64" spans="1:10" ht="13.5" customHeight="1">
      <c r="A64" s="4" t="s">
        <v>622</v>
      </c>
      <c r="B64" s="213" t="s">
        <v>403</v>
      </c>
      <c r="C64" s="4">
        <v>26.52</v>
      </c>
      <c r="D64" s="830">
        <f>D70*E73</f>
        <v>139948.73068770129</v>
      </c>
      <c r="E64" s="151">
        <f t="shared" si="0"/>
        <v>3711440.3378378381</v>
      </c>
      <c r="F64" s="605">
        <f>F70*G73</f>
        <v>122196.38009049774</v>
      </c>
      <c r="G64" s="151">
        <f t="shared" si="1"/>
        <v>3240648</v>
      </c>
      <c r="H64" s="605">
        <f>H70*I73</f>
        <v>76710.273608080184</v>
      </c>
      <c r="I64" s="151">
        <f t="shared" si="2"/>
        <v>2034356.4560862863</v>
      </c>
    </row>
    <row r="65" spans="1:26" ht="13.5" customHeight="1">
      <c r="A65" s="4" t="s">
        <v>2435</v>
      </c>
      <c r="B65" s="4" t="s">
        <v>403</v>
      </c>
      <c r="C65" s="4">
        <v>26.52</v>
      </c>
      <c r="D65" s="830">
        <f>D70*E74</f>
        <v>109598.40355060945</v>
      </c>
      <c r="E65" s="151">
        <f t="shared" si="0"/>
        <v>2906549.6621621628</v>
      </c>
      <c r="F65" s="605">
        <f>F70*G74</f>
        <v>154631.22171945698</v>
      </c>
      <c r="G65" s="151">
        <f t="shared" si="1"/>
        <v>4100819.9999999991</v>
      </c>
      <c r="H65" s="605">
        <f>H70*I74</f>
        <v>173465.44283234209</v>
      </c>
      <c r="I65" s="151">
        <f t="shared" si="2"/>
        <v>4600303.5439137118</v>
      </c>
    </row>
    <row r="66" spans="1:26" ht="13.5" customHeight="1">
      <c r="A66" s="180"/>
      <c r="B66" s="180"/>
      <c r="C66" s="180"/>
      <c r="D66" s="606">
        <f t="shared" ref="D66:I66" si="3">SUM(D4:D65)</f>
        <v>9933138.3135733567</v>
      </c>
      <c r="E66" s="215">
        <f t="shared" si="3"/>
        <v>263426828.07596529</v>
      </c>
      <c r="F66" s="606">
        <f t="shared" si="3"/>
        <v>8700953.7671940234</v>
      </c>
      <c r="G66" s="215">
        <f t="shared" si="3"/>
        <v>230749293.90598547</v>
      </c>
      <c r="H66" s="606">
        <f t="shared" si="3"/>
        <v>7761468.3191254726</v>
      </c>
      <c r="I66" s="215">
        <f t="shared" si="3"/>
        <v>205834139.82320747</v>
      </c>
      <c r="J66" s="180"/>
      <c r="K66" s="180"/>
      <c r="L66" s="180"/>
      <c r="M66" s="180"/>
      <c r="N66" s="180"/>
      <c r="O66" s="180"/>
      <c r="P66" s="180"/>
      <c r="Q66" s="180"/>
      <c r="R66" s="180"/>
      <c r="S66" s="180"/>
      <c r="T66" s="180"/>
      <c r="U66" s="180"/>
      <c r="V66" s="180"/>
      <c r="W66" s="180"/>
      <c r="X66" s="180"/>
      <c r="Y66" s="180"/>
      <c r="Z66" s="180"/>
    </row>
    <row r="67" spans="1:26" ht="13.5" customHeight="1">
      <c r="D67" s="605"/>
      <c r="F67" s="605"/>
      <c r="H67" s="605"/>
    </row>
    <row r="68" spans="1:26" ht="13.5" customHeight="1">
      <c r="D68" s="605"/>
      <c r="F68" s="605"/>
      <c r="H68" s="605"/>
    </row>
    <row r="69" spans="1:26" ht="13.5" customHeight="1">
      <c r="A69" s="4" t="s">
        <v>615</v>
      </c>
      <c r="B69" s="4" t="s">
        <v>2436</v>
      </c>
      <c r="D69" s="605">
        <v>4274.3589743589746</v>
      </c>
      <c r="F69" s="605">
        <v>3897.2096530920062</v>
      </c>
      <c r="H69" s="605">
        <v>4022.9260935143288</v>
      </c>
      <c r="J69" s="111" t="s">
        <v>2437</v>
      </c>
    </row>
    <row r="70" spans="1:26" ht="13.5" customHeight="1">
      <c r="A70" s="4" t="s">
        <v>869</v>
      </c>
      <c r="B70" s="4" t="s">
        <v>2436</v>
      </c>
      <c r="D70" s="605">
        <v>249547.13423831074</v>
      </c>
      <c r="F70" s="605">
        <v>276827.60180995474</v>
      </c>
      <c r="H70" s="605">
        <v>250175.71644042231</v>
      </c>
      <c r="J70" s="111" t="s">
        <v>2438</v>
      </c>
    </row>
    <row r="71" spans="1:26" ht="13.5" customHeight="1">
      <c r="D71" s="605"/>
      <c r="F71" s="605"/>
      <c r="H71" s="605"/>
    </row>
    <row r="72" spans="1:26" ht="13.5" customHeight="1">
      <c r="D72" s="605"/>
      <c r="F72" s="605"/>
      <c r="H72" s="605"/>
    </row>
    <row r="73" spans="1:26" ht="13.5" customHeight="1">
      <c r="D73" s="605">
        <v>146106.73428698629</v>
      </c>
      <c r="E73" s="609">
        <f t="shared" ref="E73:E74" si="4">D73/$D$75</f>
        <v>0.56081081081081074</v>
      </c>
      <c r="F73" s="605">
        <v>114068.87206983991</v>
      </c>
      <c r="G73" s="609">
        <f t="shared" ref="G73:G74" si="5">F73/$F$75</f>
        <v>0.44141689373297005</v>
      </c>
      <c r="H73" s="605">
        <v>70060.819573759698</v>
      </c>
      <c r="I73" s="609">
        <f t="shared" ref="I73:I74" si="6">H73/$H$75</f>
        <v>0.30662557781201849</v>
      </c>
    </row>
    <row r="74" spans="1:26" ht="13.5" customHeight="1">
      <c r="D74" s="605">
        <v>114420.93648980855</v>
      </c>
      <c r="E74" s="609">
        <f t="shared" si="4"/>
        <v>0.4391891891891892</v>
      </c>
      <c r="F74" s="605">
        <v>144346.41218714308</v>
      </c>
      <c r="G74" s="609">
        <f t="shared" si="5"/>
        <v>0.55858310626702989</v>
      </c>
      <c r="H74" s="605">
        <v>158428.98898588875</v>
      </c>
      <c r="I74" s="609">
        <f t="shared" si="6"/>
        <v>0.6933744221879814</v>
      </c>
    </row>
    <row r="75" spans="1:26" ht="13.5" customHeight="1">
      <c r="D75" s="605">
        <f>SUM(D73:D74)</f>
        <v>260527.67077679484</v>
      </c>
      <c r="F75" s="605">
        <f>SUM(F73:F74)</f>
        <v>258415.284256983</v>
      </c>
      <c r="H75" s="605">
        <f>SUM(H73:H74)</f>
        <v>228489.80855964846</v>
      </c>
    </row>
    <row r="76" spans="1:26" ht="13.5" customHeight="1">
      <c r="D76" s="605"/>
      <c r="F76" s="605"/>
      <c r="H76" s="605"/>
    </row>
    <row r="77" spans="1:26" ht="13.5" customHeight="1">
      <c r="D77" s="605"/>
      <c r="F77" s="605"/>
      <c r="H77" s="605"/>
    </row>
    <row r="78" spans="1:26" ht="13.5" customHeight="1">
      <c r="C78" s="111" t="s">
        <v>2439</v>
      </c>
      <c r="D78" s="834"/>
      <c r="E78" s="834">
        <v>6</v>
      </c>
      <c r="F78" s="605"/>
      <c r="H78" s="605"/>
    </row>
    <row r="79" spans="1:26" ht="13.5" customHeight="1">
      <c r="C79" s="111" t="s">
        <v>2440</v>
      </c>
      <c r="D79" s="836">
        <v>93106.179173344353</v>
      </c>
      <c r="E79" s="836">
        <v>4</v>
      </c>
      <c r="F79" s="605"/>
      <c r="H79" s="605"/>
    </row>
    <row r="80" spans="1:26" ht="13.5" customHeight="1">
      <c r="C80" s="111" t="s">
        <v>2441</v>
      </c>
      <c r="D80" s="830">
        <f>D86*E89</f>
        <v>0</v>
      </c>
      <c r="F80" s="605"/>
      <c r="H80" s="605"/>
    </row>
    <row r="81" spans="3:8" ht="13.5" customHeight="1">
      <c r="C81" s="111" t="s">
        <v>2442</v>
      </c>
      <c r="D81" s="835"/>
      <c r="E81" s="835">
        <v>2</v>
      </c>
      <c r="F81" s="605"/>
      <c r="H81" s="605"/>
    </row>
    <row r="82" spans="3:8" ht="13.5" customHeight="1">
      <c r="C82" s="111" t="s">
        <v>2443</v>
      </c>
      <c r="D82" s="831"/>
      <c r="E82" s="4">
        <v>7</v>
      </c>
      <c r="F82" s="605"/>
      <c r="H82" s="605"/>
    </row>
    <row r="83" spans="3:8" ht="13.5" customHeight="1">
      <c r="C83" s="111" t="s">
        <v>2444</v>
      </c>
      <c r="D83" s="829"/>
      <c r="E83" s="4">
        <v>9</v>
      </c>
      <c r="F83" s="605"/>
      <c r="H83" s="605"/>
    </row>
    <row r="84" spans="3:8" ht="13.5" customHeight="1">
      <c r="D84" s="605"/>
      <c r="F84" s="605"/>
      <c r="H84" s="605"/>
    </row>
    <row r="85" spans="3:8" ht="13.5" customHeight="1">
      <c r="D85" s="605"/>
      <c r="F85" s="605"/>
      <c r="H85" s="605"/>
    </row>
    <row r="86" spans="3:8" ht="13.5" customHeight="1">
      <c r="D86" s="605"/>
      <c r="F86" s="605"/>
      <c r="H86" s="605"/>
    </row>
    <row r="87" spans="3:8" ht="13.5" customHeight="1">
      <c r="D87" s="605"/>
      <c r="F87" s="605"/>
      <c r="H87" s="605"/>
    </row>
    <row r="88" spans="3:8" ht="13.5" customHeight="1">
      <c r="D88" s="605"/>
      <c r="F88" s="605"/>
      <c r="H88" s="605"/>
    </row>
    <row r="89" spans="3:8" ht="13.5" customHeight="1">
      <c r="D89" s="605"/>
      <c r="F89" s="605"/>
      <c r="H89" s="605"/>
    </row>
    <row r="90" spans="3:8" ht="13.5" customHeight="1">
      <c r="D90" s="605"/>
      <c r="F90" s="605"/>
      <c r="H90" s="605"/>
    </row>
    <row r="91" spans="3:8" ht="13.5" customHeight="1">
      <c r="D91" s="605"/>
      <c r="F91" s="605"/>
      <c r="H91" s="605"/>
    </row>
    <row r="92" spans="3:8" ht="13.5" customHeight="1">
      <c r="D92" s="605"/>
      <c r="F92" s="605"/>
      <c r="H92" s="605"/>
    </row>
    <row r="93" spans="3:8" ht="13.5" customHeight="1">
      <c r="D93" s="605"/>
      <c r="F93" s="605"/>
      <c r="H93" s="605"/>
    </row>
    <row r="94" spans="3:8" ht="13.5" customHeight="1">
      <c r="D94" s="605"/>
      <c r="F94" s="605"/>
      <c r="H94" s="605"/>
    </row>
    <row r="95" spans="3:8" ht="13.5" customHeight="1">
      <c r="D95" s="605"/>
      <c r="F95" s="605"/>
      <c r="H95" s="605"/>
    </row>
    <row r="96" spans="3:8" ht="13.5" customHeight="1">
      <c r="D96" s="605"/>
      <c r="F96" s="605"/>
      <c r="H96" s="605"/>
    </row>
    <row r="97" spans="4:8" ht="13.5" customHeight="1">
      <c r="D97" s="605"/>
      <c r="F97" s="605"/>
      <c r="H97" s="605"/>
    </row>
    <row r="98" spans="4:8" ht="13.5" customHeight="1">
      <c r="D98" s="605"/>
      <c r="F98" s="605"/>
      <c r="H98" s="605"/>
    </row>
    <row r="99" spans="4:8" ht="13.5" customHeight="1">
      <c r="D99" s="605"/>
      <c r="F99" s="605"/>
      <c r="H99" s="605"/>
    </row>
    <row r="100" spans="4:8" ht="13.5" customHeight="1">
      <c r="D100" s="605"/>
      <c r="F100" s="605"/>
      <c r="H100" s="605"/>
    </row>
    <row r="101" spans="4:8" ht="13.5" customHeight="1">
      <c r="D101" s="605"/>
      <c r="F101" s="605"/>
      <c r="H101" s="605"/>
    </row>
    <row r="102" spans="4:8" ht="13.5" customHeight="1">
      <c r="D102" s="605"/>
      <c r="F102" s="605"/>
      <c r="H102" s="605"/>
    </row>
    <row r="103" spans="4:8" ht="13.5" customHeight="1">
      <c r="D103" s="605"/>
      <c r="F103" s="605"/>
      <c r="H103" s="605"/>
    </row>
    <row r="104" spans="4:8" ht="13.5" customHeight="1">
      <c r="D104" s="605"/>
      <c r="F104" s="605"/>
      <c r="H104" s="605"/>
    </row>
    <row r="105" spans="4:8" ht="13.5" customHeight="1">
      <c r="D105" s="605"/>
      <c r="F105" s="605"/>
      <c r="H105" s="605"/>
    </row>
    <row r="106" spans="4:8" ht="13.5" customHeight="1">
      <c r="D106" s="605"/>
      <c r="F106" s="605"/>
      <c r="H106" s="605"/>
    </row>
    <row r="107" spans="4:8" ht="13.5" customHeight="1">
      <c r="D107" s="605"/>
      <c r="F107" s="605"/>
      <c r="H107" s="605"/>
    </row>
    <row r="108" spans="4:8" ht="13.5" customHeight="1">
      <c r="D108" s="605"/>
      <c r="F108" s="605"/>
      <c r="H108" s="605"/>
    </row>
    <row r="109" spans="4:8" ht="13.5" customHeight="1">
      <c r="D109" s="605"/>
      <c r="F109" s="605"/>
      <c r="H109" s="605"/>
    </row>
    <row r="110" spans="4:8" ht="13.5" customHeight="1">
      <c r="D110" s="605"/>
      <c r="F110" s="605"/>
      <c r="H110" s="605"/>
    </row>
    <row r="111" spans="4:8" ht="13.5" customHeight="1">
      <c r="D111" s="605"/>
      <c r="F111" s="605"/>
      <c r="H111" s="605"/>
    </row>
    <row r="112" spans="4:8" ht="13.5" customHeight="1">
      <c r="D112" s="605"/>
      <c r="F112" s="605"/>
      <c r="H112" s="605"/>
    </row>
    <row r="113" spans="4:8" ht="13.5" customHeight="1">
      <c r="D113" s="605"/>
      <c r="F113" s="605"/>
      <c r="H113" s="605"/>
    </row>
    <row r="114" spans="4:8" ht="13.5" customHeight="1">
      <c r="D114" s="605"/>
      <c r="F114" s="605"/>
      <c r="H114" s="605"/>
    </row>
    <row r="115" spans="4:8" ht="13.5" customHeight="1">
      <c r="D115" s="605"/>
      <c r="F115" s="605"/>
      <c r="H115" s="605"/>
    </row>
    <row r="116" spans="4:8" ht="13.5" customHeight="1">
      <c r="D116" s="605"/>
      <c r="F116" s="605"/>
      <c r="H116" s="605"/>
    </row>
    <row r="117" spans="4:8" ht="13.5" customHeight="1">
      <c r="D117" s="605"/>
      <c r="F117" s="605"/>
      <c r="H117" s="605"/>
    </row>
    <row r="118" spans="4:8" ht="13.5" customHeight="1">
      <c r="D118" s="605"/>
      <c r="F118" s="605"/>
      <c r="H118" s="605"/>
    </row>
    <row r="119" spans="4:8" ht="13.5" customHeight="1">
      <c r="D119" s="605"/>
      <c r="F119" s="605"/>
      <c r="H119" s="605"/>
    </row>
    <row r="120" spans="4:8" ht="13.5" customHeight="1">
      <c r="D120" s="605"/>
      <c r="F120" s="605"/>
      <c r="H120" s="605"/>
    </row>
    <row r="121" spans="4:8" ht="13.5" customHeight="1">
      <c r="D121" s="605"/>
      <c r="F121" s="605"/>
      <c r="H121" s="605"/>
    </row>
    <row r="122" spans="4:8" ht="13.5" customHeight="1">
      <c r="D122" s="605"/>
      <c r="F122" s="605"/>
      <c r="H122" s="605"/>
    </row>
    <row r="123" spans="4:8" ht="13.5" customHeight="1">
      <c r="D123" s="605"/>
      <c r="F123" s="605"/>
      <c r="H123" s="605"/>
    </row>
    <row r="124" spans="4:8" ht="13.5" customHeight="1">
      <c r="D124" s="605"/>
      <c r="F124" s="605"/>
      <c r="H124" s="605"/>
    </row>
    <row r="125" spans="4:8" ht="13.5" customHeight="1">
      <c r="D125" s="605"/>
      <c r="F125" s="605"/>
      <c r="H125" s="605"/>
    </row>
    <row r="126" spans="4:8" ht="13.5" customHeight="1">
      <c r="D126" s="605"/>
      <c r="F126" s="605"/>
      <c r="H126" s="605"/>
    </row>
    <row r="127" spans="4:8" ht="13.5" customHeight="1">
      <c r="D127" s="605"/>
      <c r="F127" s="605"/>
      <c r="H127" s="605"/>
    </row>
    <row r="128" spans="4:8" ht="13.5" customHeight="1">
      <c r="D128" s="605"/>
      <c r="F128" s="605"/>
      <c r="H128" s="605"/>
    </row>
    <row r="129" spans="4:8" ht="13.5" customHeight="1">
      <c r="D129" s="605"/>
      <c r="F129" s="605"/>
      <c r="H129" s="605"/>
    </row>
    <row r="130" spans="4:8" ht="13.5" customHeight="1">
      <c r="D130" s="605"/>
      <c r="F130" s="605"/>
      <c r="H130" s="605"/>
    </row>
    <row r="131" spans="4:8" ht="13.5" customHeight="1">
      <c r="D131" s="605"/>
      <c r="F131" s="605"/>
      <c r="H131" s="605"/>
    </row>
    <row r="132" spans="4:8" ht="13.5" customHeight="1">
      <c r="D132" s="605"/>
      <c r="F132" s="605"/>
      <c r="H132" s="605"/>
    </row>
    <row r="133" spans="4:8" ht="13.5" customHeight="1">
      <c r="D133" s="605"/>
      <c r="F133" s="605"/>
      <c r="H133" s="605"/>
    </row>
    <row r="134" spans="4:8" ht="13.5" customHeight="1">
      <c r="D134" s="605"/>
      <c r="F134" s="605"/>
      <c r="H134" s="605"/>
    </row>
    <row r="135" spans="4:8" ht="13.5" customHeight="1">
      <c r="D135" s="605"/>
      <c r="F135" s="605"/>
      <c r="H135" s="605"/>
    </row>
    <row r="136" spans="4:8" ht="13.5" customHeight="1">
      <c r="D136" s="605"/>
      <c r="F136" s="605"/>
      <c r="H136" s="605"/>
    </row>
    <row r="137" spans="4:8" ht="13.5" customHeight="1">
      <c r="D137" s="605"/>
      <c r="F137" s="605"/>
      <c r="H137" s="605"/>
    </row>
    <row r="138" spans="4:8" ht="13.5" customHeight="1">
      <c r="D138" s="605"/>
      <c r="F138" s="605"/>
      <c r="H138" s="605"/>
    </row>
    <row r="139" spans="4:8" ht="13.5" customHeight="1">
      <c r="D139" s="605"/>
      <c r="F139" s="605"/>
      <c r="H139" s="605"/>
    </row>
    <row r="140" spans="4:8" ht="13.5" customHeight="1">
      <c r="D140" s="605"/>
      <c r="F140" s="605"/>
      <c r="H140" s="605"/>
    </row>
    <row r="141" spans="4:8" ht="13.5" customHeight="1">
      <c r="D141" s="605"/>
      <c r="F141" s="605"/>
      <c r="H141" s="605"/>
    </row>
    <row r="142" spans="4:8" ht="13.5" customHeight="1">
      <c r="D142" s="605"/>
      <c r="F142" s="605"/>
      <c r="H142" s="605"/>
    </row>
    <row r="143" spans="4:8" ht="13.5" customHeight="1">
      <c r="D143" s="605"/>
      <c r="F143" s="605"/>
      <c r="H143" s="605"/>
    </row>
    <row r="144" spans="4:8" ht="13.5" customHeight="1">
      <c r="D144" s="605"/>
      <c r="F144" s="605"/>
      <c r="H144" s="605"/>
    </row>
    <row r="145" spans="4:8" ht="13.5" customHeight="1">
      <c r="D145" s="605"/>
      <c r="F145" s="605"/>
      <c r="H145" s="605"/>
    </row>
    <row r="146" spans="4:8" ht="13.5" customHeight="1">
      <c r="D146" s="605"/>
      <c r="F146" s="605"/>
      <c r="H146" s="605"/>
    </row>
    <row r="147" spans="4:8" ht="13.5" customHeight="1">
      <c r="D147" s="605"/>
      <c r="F147" s="605"/>
      <c r="H147" s="605"/>
    </row>
    <row r="148" spans="4:8" ht="13.5" customHeight="1">
      <c r="D148" s="605"/>
      <c r="F148" s="605"/>
      <c r="H148" s="605"/>
    </row>
    <row r="149" spans="4:8" ht="13.5" customHeight="1">
      <c r="D149" s="605"/>
      <c r="F149" s="605"/>
      <c r="H149" s="605"/>
    </row>
    <row r="150" spans="4:8" ht="13.5" customHeight="1">
      <c r="D150" s="605"/>
      <c r="F150" s="605"/>
      <c r="H150" s="605"/>
    </row>
    <row r="151" spans="4:8" ht="13.5" customHeight="1">
      <c r="D151" s="605"/>
      <c r="F151" s="605"/>
      <c r="H151" s="605"/>
    </row>
    <row r="152" spans="4:8" ht="13.5" customHeight="1">
      <c r="D152" s="605"/>
      <c r="F152" s="605"/>
      <c r="H152" s="605"/>
    </row>
    <row r="153" spans="4:8" ht="13.5" customHeight="1">
      <c r="D153" s="605"/>
      <c r="F153" s="605"/>
      <c r="H153" s="605"/>
    </row>
    <row r="154" spans="4:8" ht="13.5" customHeight="1">
      <c r="D154" s="605"/>
      <c r="F154" s="605"/>
      <c r="H154" s="605"/>
    </row>
    <row r="155" spans="4:8" ht="13.5" customHeight="1">
      <c r="D155" s="605"/>
      <c r="F155" s="605"/>
      <c r="H155" s="605"/>
    </row>
    <row r="156" spans="4:8" ht="13.5" customHeight="1">
      <c r="D156" s="605"/>
      <c r="F156" s="605"/>
      <c r="H156" s="605"/>
    </row>
    <row r="157" spans="4:8" ht="13.5" customHeight="1">
      <c r="D157" s="605"/>
      <c r="F157" s="605"/>
      <c r="H157" s="605"/>
    </row>
    <row r="158" spans="4:8" ht="13.5" customHeight="1">
      <c r="D158" s="605"/>
      <c r="F158" s="605"/>
      <c r="H158" s="605"/>
    </row>
    <row r="159" spans="4:8" ht="13.5" customHeight="1">
      <c r="D159" s="605"/>
      <c r="F159" s="605"/>
      <c r="H159" s="605"/>
    </row>
    <row r="160" spans="4:8" ht="13.5" customHeight="1">
      <c r="D160" s="605"/>
      <c r="F160" s="605"/>
      <c r="H160" s="605"/>
    </row>
    <row r="161" spans="4:8" ht="13.5" customHeight="1">
      <c r="D161" s="605"/>
      <c r="F161" s="605"/>
      <c r="H161" s="605"/>
    </row>
    <row r="162" spans="4:8" ht="13.5" customHeight="1">
      <c r="D162" s="605"/>
      <c r="F162" s="605"/>
      <c r="H162" s="605"/>
    </row>
    <row r="163" spans="4:8" ht="13.5" customHeight="1">
      <c r="D163" s="605"/>
      <c r="F163" s="605"/>
      <c r="H163" s="605"/>
    </row>
    <row r="164" spans="4:8" ht="13.5" customHeight="1">
      <c r="D164" s="605"/>
      <c r="F164" s="605"/>
      <c r="H164" s="605"/>
    </row>
    <row r="165" spans="4:8" ht="13.5" customHeight="1">
      <c r="D165" s="605"/>
      <c r="F165" s="605"/>
      <c r="H165" s="605"/>
    </row>
    <row r="166" spans="4:8" ht="13.5" customHeight="1">
      <c r="D166" s="605"/>
      <c r="F166" s="605"/>
      <c r="H166" s="605"/>
    </row>
    <row r="167" spans="4:8" ht="13.5" customHeight="1">
      <c r="D167" s="605"/>
      <c r="F167" s="605"/>
      <c r="H167" s="605"/>
    </row>
    <row r="168" spans="4:8" ht="13.5" customHeight="1">
      <c r="D168" s="605"/>
      <c r="F168" s="605"/>
      <c r="H168" s="605"/>
    </row>
    <row r="169" spans="4:8" ht="13.5" customHeight="1">
      <c r="D169" s="605"/>
      <c r="F169" s="605"/>
      <c r="H169" s="605"/>
    </row>
    <row r="170" spans="4:8" ht="13.5" customHeight="1">
      <c r="D170" s="605"/>
      <c r="F170" s="605"/>
      <c r="H170" s="605"/>
    </row>
    <row r="171" spans="4:8" ht="13.5" customHeight="1">
      <c r="D171" s="605"/>
      <c r="F171" s="605"/>
      <c r="H171" s="605"/>
    </row>
    <row r="172" spans="4:8" ht="13.5" customHeight="1">
      <c r="D172" s="605"/>
      <c r="F172" s="605"/>
      <c r="H172" s="605"/>
    </row>
    <row r="173" spans="4:8" ht="13.5" customHeight="1">
      <c r="D173" s="605"/>
      <c r="F173" s="605"/>
      <c r="H173" s="605"/>
    </row>
    <row r="174" spans="4:8" ht="13.5" customHeight="1">
      <c r="D174" s="605"/>
      <c r="F174" s="605"/>
      <c r="H174" s="605"/>
    </row>
    <row r="175" spans="4:8" ht="13.5" customHeight="1">
      <c r="D175" s="605"/>
      <c r="F175" s="605"/>
      <c r="H175" s="605"/>
    </row>
    <row r="176" spans="4:8" ht="13.5" customHeight="1">
      <c r="D176" s="605"/>
      <c r="F176" s="605"/>
      <c r="H176" s="605"/>
    </row>
    <row r="177" spans="4:8" ht="13.5" customHeight="1">
      <c r="D177" s="605"/>
      <c r="F177" s="605"/>
      <c r="H177" s="605"/>
    </row>
    <row r="178" spans="4:8" ht="13.5" customHeight="1">
      <c r="D178" s="605"/>
      <c r="F178" s="605"/>
      <c r="H178" s="605"/>
    </row>
    <row r="179" spans="4:8" ht="13.5" customHeight="1">
      <c r="D179" s="605"/>
      <c r="F179" s="605"/>
      <c r="H179" s="605"/>
    </row>
    <row r="180" spans="4:8" ht="13.5" customHeight="1">
      <c r="D180" s="605"/>
      <c r="F180" s="605"/>
      <c r="H180" s="605"/>
    </row>
    <row r="181" spans="4:8" ht="13.5" customHeight="1">
      <c r="D181" s="605"/>
      <c r="F181" s="605"/>
      <c r="H181" s="605"/>
    </row>
    <row r="182" spans="4:8" ht="13.5" customHeight="1">
      <c r="D182" s="605"/>
      <c r="F182" s="605"/>
      <c r="H182" s="605"/>
    </row>
    <row r="183" spans="4:8" ht="13.5" customHeight="1">
      <c r="D183" s="605"/>
      <c r="F183" s="605"/>
      <c r="H183" s="605"/>
    </row>
    <row r="184" spans="4:8" ht="13.5" customHeight="1">
      <c r="D184" s="605"/>
      <c r="F184" s="605"/>
      <c r="H184" s="605"/>
    </row>
    <row r="185" spans="4:8" ht="13.5" customHeight="1">
      <c r="D185" s="605"/>
      <c r="F185" s="605"/>
      <c r="H185" s="605"/>
    </row>
    <row r="186" spans="4:8" ht="13.5" customHeight="1">
      <c r="D186" s="605"/>
      <c r="F186" s="605"/>
      <c r="H186" s="605"/>
    </row>
    <row r="187" spans="4:8" ht="13.5" customHeight="1">
      <c r="D187" s="605"/>
      <c r="F187" s="605"/>
      <c r="H187" s="605"/>
    </row>
    <row r="188" spans="4:8" ht="13.5" customHeight="1">
      <c r="D188" s="605"/>
      <c r="F188" s="605"/>
      <c r="H188" s="605"/>
    </row>
    <row r="189" spans="4:8" ht="13.5" customHeight="1">
      <c r="D189" s="605"/>
      <c r="F189" s="605"/>
      <c r="H189" s="605"/>
    </row>
    <row r="190" spans="4:8" ht="13.5" customHeight="1">
      <c r="D190" s="605"/>
      <c r="F190" s="605"/>
      <c r="H190" s="605"/>
    </row>
    <row r="191" spans="4:8" ht="13.5" customHeight="1">
      <c r="D191" s="605"/>
      <c r="F191" s="605"/>
      <c r="H191" s="605"/>
    </row>
    <row r="192" spans="4:8" ht="13.5" customHeight="1">
      <c r="D192" s="605"/>
      <c r="F192" s="605"/>
      <c r="H192" s="605"/>
    </row>
    <row r="193" spans="4:8" ht="13.5" customHeight="1">
      <c r="D193" s="605"/>
      <c r="F193" s="605"/>
      <c r="H193" s="605"/>
    </row>
    <row r="194" spans="4:8" ht="13.5" customHeight="1">
      <c r="D194" s="605"/>
      <c r="F194" s="605"/>
      <c r="H194" s="605"/>
    </row>
    <row r="195" spans="4:8" ht="13.5" customHeight="1">
      <c r="D195" s="605"/>
      <c r="F195" s="605"/>
      <c r="H195" s="605"/>
    </row>
    <row r="196" spans="4:8" ht="13.5" customHeight="1">
      <c r="D196" s="605"/>
      <c r="F196" s="605"/>
      <c r="H196" s="605"/>
    </row>
    <row r="197" spans="4:8" ht="13.5" customHeight="1">
      <c r="D197" s="605"/>
      <c r="F197" s="605"/>
      <c r="H197" s="605"/>
    </row>
    <row r="198" spans="4:8" ht="13.5" customHeight="1">
      <c r="D198" s="605"/>
      <c r="F198" s="605"/>
      <c r="H198" s="605"/>
    </row>
    <row r="199" spans="4:8" ht="13.5" customHeight="1">
      <c r="D199" s="605"/>
      <c r="F199" s="605"/>
      <c r="H199" s="605"/>
    </row>
    <row r="200" spans="4:8" ht="13.5" customHeight="1">
      <c r="D200" s="605"/>
      <c r="F200" s="605"/>
      <c r="H200" s="605"/>
    </row>
    <row r="201" spans="4:8" ht="13.5" customHeight="1">
      <c r="D201" s="605"/>
      <c r="F201" s="605"/>
      <c r="H201" s="605"/>
    </row>
    <row r="202" spans="4:8" ht="13.5" customHeight="1">
      <c r="D202" s="605"/>
      <c r="F202" s="605"/>
      <c r="H202" s="605"/>
    </row>
    <row r="203" spans="4:8" ht="13.5" customHeight="1">
      <c r="D203" s="605"/>
      <c r="F203" s="605"/>
      <c r="H203" s="605"/>
    </row>
    <row r="204" spans="4:8" ht="13.5" customHeight="1">
      <c r="D204" s="605"/>
      <c r="F204" s="605"/>
      <c r="H204" s="605"/>
    </row>
    <row r="205" spans="4:8" ht="13.5" customHeight="1">
      <c r="D205" s="605"/>
      <c r="F205" s="605"/>
      <c r="H205" s="605"/>
    </row>
    <row r="206" spans="4:8" ht="13.5" customHeight="1">
      <c r="D206" s="605"/>
      <c r="F206" s="605"/>
      <c r="H206" s="605"/>
    </row>
    <row r="207" spans="4:8" ht="13.5" customHeight="1">
      <c r="D207" s="605"/>
      <c r="F207" s="605"/>
      <c r="H207" s="605"/>
    </row>
    <row r="208" spans="4:8" ht="13.5" customHeight="1">
      <c r="D208" s="605"/>
      <c r="F208" s="605"/>
      <c r="H208" s="605"/>
    </row>
    <row r="209" spans="4:8" ht="13.5" customHeight="1">
      <c r="D209" s="605"/>
      <c r="F209" s="605"/>
      <c r="H209" s="605"/>
    </row>
    <row r="210" spans="4:8" ht="13.5" customHeight="1">
      <c r="D210" s="605"/>
      <c r="F210" s="605"/>
      <c r="H210" s="605"/>
    </row>
    <row r="211" spans="4:8" ht="13.5" customHeight="1">
      <c r="D211" s="605"/>
      <c r="F211" s="605"/>
      <c r="H211" s="605"/>
    </row>
    <row r="212" spans="4:8" ht="13.5" customHeight="1">
      <c r="D212" s="605"/>
      <c r="F212" s="605"/>
      <c r="H212" s="605"/>
    </row>
    <row r="213" spans="4:8" ht="13.5" customHeight="1">
      <c r="D213" s="605"/>
      <c r="F213" s="605"/>
      <c r="H213" s="605"/>
    </row>
    <row r="214" spans="4:8" ht="13.5" customHeight="1">
      <c r="D214" s="605"/>
      <c r="F214" s="605"/>
      <c r="H214" s="605"/>
    </row>
    <row r="215" spans="4:8" ht="13.5" customHeight="1">
      <c r="D215" s="605"/>
      <c r="F215" s="605"/>
      <c r="H215" s="605"/>
    </row>
    <row r="216" spans="4:8" ht="13.5" customHeight="1">
      <c r="D216" s="605"/>
      <c r="F216" s="605"/>
      <c r="H216" s="605"/>
    </row>
    <row r="217" spans="4:8" ht="13.5" customHeight="1">
      <c r="D217" s="605"/>
      <c r="F217" s="605"/>
      <c r="H217" s="605"/>
    </row>
    <row r="218" spans="4:8" ht="13.5" customHeight="1">
      <c r="D218" s="605"/>
      <c r="F218" s="605"/>
      <c r="H218" s="605"/>
    </row>
    <row r="219" spans="4:8" ht="13.5" customHeight="1">
      <c r="D219" s="605"/>
      <c r="F219" s="605"/>
      <c r="H219" s="605"/>
    </row>
    <row r="220" spans="4:8" ht="13.5" customHeight="1">
      <c r="D220" s="605"/>
      <c r="F220" s="605"/>
      <c r="H220" s="605"/>
    </row>
    <row r="221" spans="4:8" ht="13.5" customHeight="1">
      <c r="D221" s="605"/>
      <c r="F221" s="605"/>
      <c r="H221" s="605"/>
    </row>
    <row r="222" spans="4:8" ht="13.5" customHeight="1">
      <c r="D222" s="605"/>
      <c r="F222" s="605"/>
      <c r="H222" s="605"/>
    </row>
    <row r="223" spans="4:8" ht="13.5" customHeight="1">
      <c r="D223" s="605"/>
      <c r="F223" s="605"/>
      <c r="H223" s="605"/>
    </row>
    <row r="224" spans="4:8" ht="13.5" customHeight="1">
      <c r="D224" s="605"/>
      <c r="F224" s="605"/>
      <c r="H224" s="605"/>
    </row>
    <row r="225" spans="4:8" ht="13.5" customHeight="1">
      <c r="D225" s="605"/>
      <c r="F225" s="605"/>
      <c r="H225" s="605"/>
    </row>
    <row r="226" spans="4:8" ht="13.5" customHeight="1">
      <c r="D226" s="605"/>
      <c r="F226" s="605"/>
      <c r="H226" s="605"/>
    </row>
    <row r="227" spans="4:8" ht="13.5" customHeight="1">
      <c r="D227" s="605"/>
      <c r="F227" s="605"/>
      <c r="H227" s="605"/>
    </row>
    <row r="228" spans="4:8" ht="13.5" customHeight="1">
      <c r="D228" s="605"/>
      <c r="F228" s="605"/>
      <c r="H228" s="605"/>
    </row>
    <row r="229" spans="4:8" ht="13.5" customHeight="1">
      <c r="D229" s="605"/>
      <c r="F229" s="605"/>
      <c r="H229" s="605"/>
    </row>
    <row r="230" spans="4:8" ht="13.5" customHeight="1">
      <c r="D230" s="605"/>
      <c r="F230" s="605"/>
      <c r="H230" s="605"/>
    </row>
    <row r="231" spans="4:8" ht="13.5" customHeight="1">
      <c r="D231" s="605"/>
      <c r="F231" s="605"/>
      <c r="H231" s="605"/>
    </row>
    <row r="232" spans="4:8" ht="13.5" customHeight="1">
      <c r="D232" s="605"/>
      <c r="F232" s="605"/>
      <c r="H232" s="605"/>
    </row>
    <row r="233" spans="4:8" ht="13.5" customHeight="1">
      <c r="D233" s="605"/>
      <c r="F233" s="605"/>
      <c r="H233" s="605"/>
    </row>
    <row r="234" spans="4:8" ht="13.5" customHeight="1">
      <c r="D234" s="605"/>
      <c r="F234" s="605"/>
      <c r="H234" s="605"/>
    </row>
    <row r="235" spans="4:8" ht="13.5" customHeight="1">
      <c r="D235" s="605"/>
      <c r="F235" s="605"/>
      <c r="H235" s="605"/>
    </row>
    <row r="236" spans="4:8" ht="13.5" customHeight="1">
      <c r="D236" s="605"/>
      <c r="F236" s="605"/>
      <c r="H236" s="605"/>
    </row>
    <row r="237" spans="4:8" ht="13.5" customHeight="1">
      <c r="D237" s="605"/>
      <c r="F237" s="605"/>
      <c r="H237" s="605"/>
    </row>
    <row r="238" spans="4:8" ht="13.5" customHeight="1">
      <c r="D238" s="605"/>
      <c r="F238" s="605"/>
      <c r="H238" s="605"/>
    </row>
    <row r="239" spans="4:8" ht="13.5" customHeight="1">
      <c r="D239" s="605"/>
      <c r="F239" s="605"/>
      <c r="H239" s="605"/>
    </row>
    <row r="240" spans="4:8" ht="13.5" customHeight="1">
      <c r="D240" s="605"/>
      <c r="F240" s="605"/>
      <c r="H240" s="605"/>
    </row>
    <row r="241" spans="4:8" ht="13.5" customHeight="1">
      <c r="D241" s="605"/>
      <c r="F241" s="605"/>
      <c r="H241" s="605"/>
    </row>
    <row r="242" spans="4:8" ht="13.5" customHeight="1">
      <c r="D242" s="605"/>
      <c r="F242" s="605"/>
      <c r="H242" s="605"/>
    </row>
    <row r="243" spans="4:8" ht="13.5" customHeight="1">
      <c r="D243" s="605"/>
      <c r="F243" s="605"/>
      <c r="H243" s="605"/>
    </row>
    <row r="244" spans="4:8" ht="13.5" customHeight="1">
      <c r="D244" s="605"/>
      <c r="F244" s="605"/>
      <c r="H244" s="605"/>
    </row>
    <row r="245" spans="4:8" ht="13.5" customHeight="1">
      <c r="D245" s="605"/>
      <c r="F245" s="605"/>
      <c r="H245" s="605"/>
    </row>
    <row r="246" spans="4:8" ht="13.5" customHeight="1">
      <c r="D246" s="605"/>
      <c r="F246" s="605"/>
      <c r="H246" s="605"/>
    </row>
    <row r="247" spans="4:8" ht="13.5" customHeight="1">
      <c r="D247" s="605"/>
      <c r="F247" s="605"/>
      <c r="H247" s="605"/>
    </row>
    <row r="248" spans="4:8" ht="13.5" customHeight="1">
      <c r="D248" s="605"/>
      <c r="F248" s="605"/>
      <c r="H248" s="605"/>
    </row>
    <row r="249" spans="4:8" ht="13.5" customHeight="1">
      <c r="D249" s="605"/>
      <c r="F249" s="605"/>
      <c r="H249" s="605"/>
    </row>
    <row r="250" spans="4:8" ht="13.5" customHeight="1">
      <c r="D250" s="605"/>
      <c r="F250" s="605"/>
      <c r="H250" s="605"/>
    </row>
    <row r="251" spans="4:8" ht="13.5" customHeight="1">
      <c r="D251" s="605"/>
      <c r="F251" s="605"/>
      <c r="H251" s="605"/>
    </row>
    <row r="252" spans="4:8" ht="13.5" customHeight="1">
      <c r="D252" s="605"/>
      <c r="F252" s="605"/>
      <c r="H252" s="605"/>
    </row>
    <row r="253" spans="4:8" ht="13.5" customHeight="1">
      <c r="D253" s="605"/>
      <c r="F253" s="605"/>
      <c r="H253" s="605"/>
    </row>
    <row r="254" spans="4:8" ht="13.5" customHeight="1">
      <c r="D254" s="605"/>
      <c r="F254" s="605"/>
      <c r="H254" s="605"/>
    </row>
    <row r="255" spans="4:8" ht="13.5" customHeight="1">
      <c r="D255" s="605"/>
      <c r="F255" s="605"/>
      <c r="H255" s="605"/>
    </row>
    <row r="256" spans="4:8" ht="13.5" customHeight="1">
      <c r="D256" s="605"/>
      <c r="F256" s="605"/>
      <c r="H256" s="605"/>
    </row>
    <row r="257" spans="4:8" ht="13.5" customHeight="1">
      <c r="D257" s="605"/>
      <c r="F257" s="605"/>
      <c r="H257" s="605"/>
    </row>
    <row r="258" spans="4:8" ht="13.5" customHeight="1">
      <c r="D258" s="605"/>
      <c r="F258" s="605"/>
      <c r="H258" s="605"/>
    </row>
    <row r="259" spans="4:8" ht="13.5" customHeight="1">
      <c r="D259" s="605"/>
      <c r="F259" s="605"/>
      <c r="H259" s="605"/>
    </row>
    <row r="260" spans="4:8" ht="13.5" customHeight="1">
      <c r="D260" s="605"/>
      <c r="F260" s="605"/>
      <c r="H260" s="605"/>
    </row>
    <row r="261" spans="4:8" ht="13.5" customHeight="1">
      <c r="D261" s="605"/>
      <c r="F261" s="605"/>
      <c r="H261" s="605"/>
    </row>
    <row r="262" spans="4:8" ht="13.5" customHeight="1">
      <c r="D262" s="605"/>
      <c r="F262" s="605"/>
      <c r="H262" s="605"/>
    </row>
    <row r="263" spans="4:8" ht="13.5" customHeight="1">
      <c r="D263" s="605"/>
      <c r="F263" s="605"/>
      <c r="H263" s="605"/>
    </row>
    <row r="264" spans="4:8" ht="13.5" customHeight="1">
      <c r="D264" s="605"/>
      <c r="F264" s="605"/>
      <c r="H264" s="605"/>
    </row>
    <row r="265" spans="4:8" ht="13.5" customHeight="1">
      <c r="D265" s="605"/>
      <c r="F265" s="605"/>
      <c r="H265" s="605"/>
    </row>
    <row r="266" spans="4:8" ht="13.5" customHeight="1">
      <c r="D266" s="605"/>
      <c r="F266" s="605"/>
      <c r="H266" s="605"/>
    </row>
    <row r="267" spans="4:8" ht="13.5" customHeight="1">
      <c r="D267" s="605"/>
      <c r="F267" s="605"/>
      <c r="H267" s="605"/>
    </row>
    <row r="268" spans="4:8" ht="13.5" customHeight="1">
      <c r="D268" s="605"/>
      <c r="F268" s="605"/>
      <c r="H268" s="605"/>
    </row>
    <row r="269" spans="4:8" ht="13.5" customHeight="1">
      <c r="D269" s="605"/>
      <c r="F269" s="605"/>
      <c r="H269" s="605"/>
    </row>
    <row r="270" spans="4:8" ht="13.5" customHeight="1">
      <c r="D270" s="605"/>
      <c r="F270" s="605"/>
      <c r="H270" s="605"/>
    </row>
    <row r="271" spans="4:8" ht="13.5" customHeight="1">
      <c r="D271" s="605"/>
      <c r="F271" s="605"/>
      <c r="H271" s="605"/>
    </row>
    <row r="272" spans="4:8" ht="13.5" customHeight="1">
      <c r="D272" s="605"/>
      <c r="F272" s="605"/>
      <c r="H272" s="605"/>
    </row>
    <row r="273" spans="4:8" ht="13.5" customHeight="1">
      <c r="D273" s="605"/>
      <c r="F273" s="605"/>
      <c r="H273" s="605"/>
    </row>
    <row r="274" spans="4:8" ht="13.5" customHeight="1">
      <c r="D274" s="605"/>
      <c r="F274" s="605"/>
      <c r="H274" s="605"/>
    </row>
    <row r="275" spans="4:8" ht="13.5" customHeight="1">
      <c r="D275" s="605"/>
      <c r="F275" s="605"/>
      <c r="H275" s="605"/>
    </row>
    <row r="276" spans="4:8" ht="13.5" customHeight="1">
      <c r="D276" s="605"/>
      <c r="F276" s="605"/>
      <c r="H276" s="605"/>
    </row>
    <row r="277" spans="4:8" ht="13.5" customHeight="1">
      <c r="D277" s="605"/>
      <c r="F277" s="605"/>
      <c r="H277" s="605"/>
    </row>
    <row r="278" spans="4:8" ht="13.5" customHeight="1">
      <c r="D278" s="605"/>
      <c r="F278" s="605"/>
      <c r="H278" s="605"/>
    </row>
    <row r="279" spans="4:8" ht="13.5" customHeight="1">
      <c r="D279" s="605"/>
      <c r="F279" s="605"/>
      <c r="H279" s="605"/>
    </row>
    <row r="280" spans="4:8" ht="13.5" customHeight="1">
      <c r="D280" s="605"/>
      <c r="F280" s="605"/>
      <c r="H280" s="605"/>
    </row>
    <row r="281" spans="4:8" ht="13.5" customHeight="1">
      <c r="D281" s="605"/>
      <c r="F281" s="605"/>
      <c r="H281" s="605"/>
    </row>
    <row r="282" spans="4:8" ht="13.5" customHeight="1">
      <c r="D282" s="605"/>
      <c r="F282" s="605"/>
      <c r="H282" s="605"/>
    </row>
    <row r="283" spans="4:8" ht="13.5" customHeight="1">
      <c r="D283" s="605"/>
      <c r="F283" s="605"/>
      <c r="H283" s="605"/>
    </row>
    <row r="284" spans="4:8" ht="13.5" customHeight="1">
      <c r="D284" s="605"/>
      <c r="F284" s="605"/>
      <c r="H284" s="605"/>
    </row>
    <row r="285" spans="4:8" ht="13.5" customHeight="1">
      <c r="D285" s="605"/>
      <c r="F285" s="605"/>
      <c r="H285" s="605"/>
    </row>
    <row r="286" spans="4:8" ht="13.5" customHeight="1">
      <c r="D286" s="605"/>
      <c r="F286" s="605"/>
      <c r="H286" s="605"/>
    </row>
    <row r="287" spans="4:8" ht="13.5" customHeight="1">
      <c r="D287" s="605"/>
      <c r="F287" s="605"/>
      <c r="H287" s="605"/>
    </row>
    <row r="288" spans="4:8" ht="13.5" customHeight="1">
      <c r="D288" s="605"/>
      <c r="F288" s="605"/>
      <c r="H288" s="605"/>
    </row>
    <row r="289" spans="4:8" ht="13.5" customHeight="1">
      <c r="D289" s="605"/>
      <c r="F289" s="605"/>
      <c r="H289" s="605"/>
    </row>
    <row r="290" spans="4:8" ht="13.5" customHeight="1">
      <c r="D290" s="605"/>
      <c r="F290" s="605"/>
      <c r="H290" s="605"/>
    </row>
    <row r="291" spans="4:8" ht="13.5" customHeight="1">
      <c r="D291" s="605"/>
      <c r="F291" s="605"/>
      <c r="H291" s="605"/>
    </row>
    <row r="292" spans="4:8" ht="13.5" customHeight="1">
      <c r="D292" s="605"/>
      <c r="F292" s="605"/>
      <c r="H292" s="605"/>
    </row>
    <row r="293" spans="4:8" ht="13.5" customHeight="1">
      <c r="D293" s="605"/>
      <c r="F293" s="605"/>
      <c r="H293" s="605"/>
    </row>
    <row r="294" spans="4:8" ht="13.5" customHeight="1">
      <c r="D294" s="605"/>
      <c r="F294" s="605"/>
      <c r="H294" s="605"/>
    </row>
    <row r="295" spans="4:8" ht="13.5" customHeight="1">
      <c r="D295" s="605"/>
      <c r="F295" s="605"/>
      <c r="H295" s="605"/>
    </row>
    <row r="296" spans="4:8" ht="13.5" customHeight="1">
      <c r="D296" s="605"/>
      <c r="F296" s="605"/>
      <c r="H296" s="605"/>
    </row>
    <row r="297" spans="4:8" ht="13.5" customHeight="1">
      <c r="D297" s="605"/>
      <c r="F297" s="605"/>
      <c r="H297" s="605"/>
    </row>
    <row r="298" spans="4:8" ht="13.5" customHeight="1">
      <c r="D298" s="605"/>
      <c r="F298" s="605"/>
      <c r="H298" s="605"/>
    </row>
    <row r="299" spans="4:8" ht="13.5" customHeight="1">
      <c r="D299" s="605"/>
      <c r="F299" s="605"/>
      <c r="H299" s="605"/>
    </row>
    <row r="300" spans="4:8" ht="13.5" customHeight="1">
      <c r="D300" s="605"/>
      <c r="F300" s="605"/>
      <c r="H300" s="605"/>
    </row>
    <row r="301" spans="4:8" ht="13.5" customHeight="1">
      <c r="D301" s="605"/>
      <c r="F301" s="605"/>
      <c r="H301" s="605"/>
    </row>
    <row r="302" spans="4:8" ht="13.5" customHeight="1">
      <c r="D302" s="605"/>
      <c r="F302" s="605"/>
      <c r="H302" s="605"/>
    </row>
    <row r="303" spans="4:8" ht="13.5" customHeight="1">
      <c r="D303" s="605"/>
      <c r="F303" s="605"/>
      <c r="H303" s="605"/>
    </row>
    <row r="304" spans="4:8" ht="13.5" customHeight="1">
      <c r="D304" s="605"/>
      <c r="F304" s="605"/>
      <c r="H304" s="605"/>
    </row>
    <row r="305" spans="4:8" ht="13.5" customHeight="1">
      <c r="D305" s="605"/>
      <c r="F305" s="605"/>
      <c r="H305" s="605"/>
    </row>
    <row r="306" spans="4:8" ht="13.5" customHeight="1">
      <c r="D306" s="605"/>
      <c r="F306" s="605"/>
      <c r="H306" s="605"/>
    </row>
    <row r="307" spans="4:8" ht="13.5" customHeight="1">
      <c r="D307" s="605"/>
      <c r="F307" s="605"/>
      <c r="H307" s="605"/>
    </row>
    <row r="308" spans="4:8" ht="13.5" customHeight="1">
      <c r="D308" s="605"/>
      <c r="F308" s="605"/>
      <c r="H308" s="605"/>
    </row>
    <row r="309" spans="4:8" ht="13.5" customHeight="1">
      <c r="D309" s="605"/>
      <c r="F309" s="605"/>
      <c r="H309" s="605"/>
    </row>
    <row r="310" spans="4:8" ht="13.5" customHeight="1">
      <c r="D310" s="605"/>
      <c r="F310" s="605"/>
      <c r="H310" s="605"/>
    </row>
    <row r="311" spans="4:8" ht="13.5" customHeight="1">
      <c r="D311" s="605"/>
      <c r="F311" s="605"/>
      <c r="H311" s="605"/>
    </row>
    <row r="312" spans="4:8" ht="13.5" customHeight="1">
      <c r="D312" s="605"/>
      <c r="F312" s="605"/>
      <c r="H312" s="605"/>
    </row>
    <row r="313" spans="4:8" ht="13.5" customHeight="1">
      <c r="D313" s="605"/>
      <c r="F313" s="605"/>
      <c r="H313" s="605"/>
    </row>
    <row r="314" spans="4:8" ht="13.5" customHeight="1">
      <c r="D314" s="605"/>
      <c r="F314" s="605"/>
      <c r="H314" s="605"/>
    </row>
    <row r="315" spans="4:8" ht="13.5" customHeight="1">
      <c r="D315" s="605"/>
      <c r="F315" s="605"/>
      <c r="H315" s="605"/>
    </row>
    <row r="316" spans="4:8" ht="13.5" customHeight="1">
      <c r="D316" s="605"/>
      <c r="F316" s="605"/>
      <c r="H316" s="605"/>
    </row>
    <row r="317" spans="4:8" ht="13.5" customHeight="1">
      <c r="D317" s="605"/>
      <c r="F317" s="605"/>
      <c r="H317" s="605"/>
    </row>
    <row r="318" spans="4:8" ht="13.5" customHeight="1">
      <c r="D318" s="605"/>
      <c r="F318" s="605"/>
      <c r="H318" s="605"/>
    </row>
    <row r="319" spans="4:8" ht="13.5" customHeight="1">
      <c r="D319" s="605"/>
      <c r="F319" s="605"/>
      <c r="H319" s="605"/>
    </row>
    <row r="320" spans="4:8" ht="13.5" customHeight="1">
      <c r="D320" s="605"/>
      <c r="F320" s="605"/>
      <c r="H320" s="605"/>
    </row>
    <row r="321" spans="4:8" ht="13.5" customHeight="1">
      <c r="D321" s="605"/>
      <c r="F321" s="605"/>
      <c r="H321" s="605"/>
    </row>
    <row r="322" spans="4:8" ht="13.5" customHeight="1">
      <c r="D322" s="605"/>
      <c r="F322" s="605"/>
      <c r="H322" s="605"/>
    </row>
    <row r="323" spans="4:8" ht="13.5" customHeight="1">
      <c r="D323" s="605"/>
      <c r="F323" s="605"/>
      <c r="H323" s="605"/>
    </row>
    <row r="324" spans="4:8" ht="13.5" customHeight="1">
      <c r="D324" s="605"/>
      <c r="F324" s="605"/>
      <c r="H324" s="605"/>
    </row>
    <row r="325" spans="4:8" ht="13.5" customHeight="1">
      <c r="D325" s="605"/>
      <c r="F325" s="605"/>
      <c r="H325" s="605"/>
    </row>
    <row r="326" spans="4:8" ht="13.5" customHeight="1">
      <c r="D326" s="605"/>
      <c r="F326" s="605"/>
      <c r="H326" s="605"/>
    </row>
    <row r="327" spans="4:8" ht="13.5" customHeight="1">
      <c r="D327" s="605"/>
      <c r="F327" s="605"/>
      <c r="H327" s="605"/>
    </row>
    <row r="328" spans="4:8" ht="13.5" customHeight="1">
      <c r="D328" s="605"/>
      <c r="F328" s="605"/>
      <c r="H328" s="605"/>
    </row>
    <row r="329" spans="4:8" ht="13.5" customHeight="1">
      <c r="D329" s="605"/>
      <c r="F329" s="605"/>
      <c r="H329" s="605"/>
    </row>
    <row r="330" spans="4:8" ht="13.5" customHeight="1">
      <c r="D330" s="605"/>
      <c r="F330" s="605"/>
      <c r="H330" s="605"/>
    </row>
    <row r="331" spans="4:8" ht="13.5" customHeight="1">
      <c r="D331" s="605"/>
      <c r="F331" s="605"/>
      <c r="H331" s="605"/>
    </row>
    <row r="332" spans="4:8" ht="13.5" customHeight="1">
      <c r="D332" s="605"/>
      <c r="F332" s="605"/>
      <c r="H332" s="605"/>
    </row>
    <row r="333" spans="4:8" ht="13.5" customHeight="1">
      <c r="D333" s="605"/>
      <c r="F333" s="605"/>
      <c r="H333" s="605"/>
    </row>
    <row r="334" spans="4:8" ht="13.5" customHeight="1">
      <c r="D334" s="605"/>
      <c r="F334" s="605"/>
      <c r="H334" s="605"/>
    </row>
    <row r="335" spans="4:8" ht="13.5" customHeight="1">
      <c r="D335" s="605"/>
      <c r="F335" s="605"/>
      <c r="H335" s="605"/>
    </row>
    <row r="336" spans="4:8" ht="13.5" customHeight="1">
      <c r="D336" s="605"/>
      <c r="F336" s="605"/>
      <c r="H336" s="605"/>
    </row>
    <row r="337" spans="4:8" ht="13.5" customHeight="1">
      <c r="D337" s="605"/>
      <c r="F337" s="605"/>
      <c r="H337" s="605"/>
    </row>
    <row r="338" spans="4:8" ht="13.5" customHeight="1">
      <c r="D338" s="605"/>
      <c r="F338" s="605"/>
      <c r="H338" s="605"/>
    </row>
    <row r="339" spans="4:8" ht="13.5" customHeight="1">
      <c r="D339" s="605"/>
      <c r="F339" s="605"/>
      <c r="H339" s="605"/>
    </row>
    <row r="340" spans="4:8" ht="13.5" customHeight="1">
      <c r="D340" s="605"/>
      <c r="F340" s="605"/>
      <c r="H340" s="605"/>
    </row>
    <row r="341" spans="4:8" ht="13.5" customHeight="1">
      <c r="D341" s="605"/>
      <c r="F341" s="605"/>
      <c r="H341" s="605"/>
    </row>
    <row r="342" spans="4:8" ht="13.5" customHeight="1">
      <c r="D342" s="605"/>
      <c r="F342" s="605"/>
      <c r="H342" s="605"/>
    </row>
    <row r="343" spans="4:8" ht="13.5" customHeight="1">
      <c r="D343" s="605"/>
      <c r="F343" s="605"/>
      <c r="H343" s="605"/>
    </row>
    <row r="344" spans="4:8" ht="13.5" customHeight="1">
      <c r="D344" s="605"/>
      <c r="F344" s="605"/>
      <c r="H344" s="605"/>
    </row>
    <row r="345" spans="4:8" ht="13.5" customHeight="1">
      <c r="D345" s="605"/>
      <c r="F345" s="605"/>
      <c r="H345" s="605"/>
    </row>
    <row r="346" spans="4:8" ht="13.5" customHeight="1">
      <c r="D346" s="605"/>
      <c r="F346" s="605"/>
      <c r="H346" s="605"/>
    </row>
    <row r="347" spans="4:8" ht="13.5" customHeight="1">
      <c r="D347" s="605"/>
      <c r="F347" s="605"/>
      <c r="H347" s="605"/>
    </row>
    <row r="348" spans="4:8" ht="13.5" customHeight="1">
      <c r="D348" s="605"/>
      <c r="F348" s="605"/>
      <c r="H348" s="605"/>
    </row>
    <row r="349" spans="4:8" ht="13.5" customHeight="1">
      <c r="D349" s="605"/>
      <c r="F349" s="605"/>
      <c r="H349" s="605"/>
    </row>
    <row r="350" spans="4:8" ht="13.5" customHeight="1">
      <c r="D350" s="605"/>
      <c r="F350" s="605"/>
      <c r="H350" s="605"/>
    </row>
    <row r="351" spans="4:8" ht="13.5" customHeight="1">
      <c r="D351" s="605"/>
      <c r="F351" s="605"/>
      <c r="H351" s="605"/>
    </row>
    <row r="352" spans="4:8" ht="13.5" customHeight="1">
      <c r="D352" s="605"/>
      <c r="F352" s="605"/>
      <c r="H352" s="605"/>
    </row>
    <row r="353" spans="4:8" ht="13.5" customHeight="1">
      <c r="D353" s="605"/>
      <c r="F353" s="605"/>
      <c r="H353" s="605"/>
    </row>
    <row r="354" spans="4:8" ht="13.5" customHeight="1">
      <c r="D354" s="605"/>
      <c r="F354" s="605"/>
      <c r="H354" s="605"/>
    </row>
    <row r="355" spans="4:8" ht="13.5" customHeight="1">
      <c r="D355" s="605"/>
      <c r="F355" s="605"/>
      <c r="H355" s="605"/>
    </row>
    <row r="356" spans="4:8" ht="13.5" customHeight="1">
      <c r="D356" s="605"/>
      <c r="F356" s="605"/>
      <c r="H356" s="605"/>
    </row>
    <row r="357" spans="4:8" ht="13.5" customHeight="1">
      <c r="D357" s="605"/>
      <c r="F357" s="605"/>
      <c r="H357" s="605"/>
    </row>
    <row r="358" spans="4:8" ht="13.5" customHeight="1">
      <c r="D358" s="605"/>
      <c r="F358" s="605"/>
      <c r="H358" s="605"/>
    </row>
    <row r="359" spans="4:8" ht="13.5" customHeight="1">
      <c r="D359" s="605"/>
      <c r="F359" s="605"/>
      <c r="H359" s="605"/>
    </row>
    <row r="360" spans="4:8" ht="13.5" customHeight="1">
      <c r="D360" s="605"/>
      <c r="F360" s="605"/>
      <c r="H360" s="605"/>
    </row>
    <row r="361" spans="4:8" ht="13.5" customHeight="1">
      <c r="D361" s="605"/>
      <c r="F361" s="605"/>
      <c r="H361" s="605"/>
    </row>
    <row r="362" spans="4:8" ht="13.5" customHeight="1">
      <c r="D362" s="605"/>
      <c r="F362" s="605"/>
      <c r="H362" s="605"/>
    </row>
    <row r="363" spans="4:8" ht="13.5" customHeight="1">
      <c r="D363" s="605"/>
      <c r="F363" s="605"/>
      <c r="H363" s="605"/>
    </row>
    <row r="364" spans="4:8" ht="13.5" customHeight="1">
      <c r="D364" s="605"/>
      <c r="F364" s="605"/>
      <c r="H364" s="605"/>
    </row>
    <row r="365" spans="4:8" ht="13.5" customHeight="1">
      <c r="D365" s="605"/>
      <c r="F365" s="605"/>
      <c r="H365" s="605"/>
    </row>
    <row r="366" spans="4:8" ht="13.5" customHeight="1">
      <c r="D366" s="605"/>
      <c r="F366" s="605"/>
      <c r="H366" s="605"/>
    </row>
    <row r="367" spans="4:8" ht="13.5" customHeight="1">
      <c r="D367" s="605"/>
      <c r="F367" s="605"/>
      <c r="H367" s="605"/>
    </row>
    <row r="368" spans="4:8" ht="13.5" customHeight="1">
      <c r="D368" s="605"/>
      <c r="F368" s="605"/>
      <c r="H368" s="605"/>
    </row>
    <row r="369" spans="4:8" ht="13.5" customHeight="1">
      <c r="D369" s="605"/>
      <c r="F369" s="605"/>
      <c r="H369" s="605"/>
    </row>
    <row r="370" spans="4:8" ht="13.5" customHeight="1">
      <c r="D370" s="605"/>
      <c r="F370" s="605"/>
      <c r="H370" s="605"/>
    </row>
    <row r="371" spans="4:8" ht="13.5" customHeight="1">
      <c r="D371" s="605"/>
      <c r="F371" s="605"/>
      <c r="H371" s="605"/>
    </row>
    <row r="372" spans="4:8" ht="13.5" customHeight="1">
      <c r="D372" s="605"/>
      <c r="F372" s="605"/>
      <c r="H372" s="605"/>
    </row>
    <row r="373" spans="4:8" ht="13.5" customHeight="1">
      <c r="D373" s="605"/>
      <c r="F373" s="605"/>
      <c r="H373" s="605"/>
    </row>
    <row r="374" spans="4:8" ht="13.5" customHeight="1">
      <c r="D374" s="605"/>
      <c r="F374" s="605"/>
      <c r="H374" s="605"/>
    </row>
    <row r="375" spans="4:8" ht="13.5" customHeight="1">
      <c r="D375" s="605"/>
      <c r="F375" s="605"/>
      <c r="H375" s="605"/>
    </row>
    <row r="376" spans="4:8" ht="13.5" customHeight="1">
      <c r="D376" s="605"/>
      <c r="F376" s="605"/>
      <c r="H376" s="605"/>
    </row>
    <row r="377" spans="4:8" ht="13.5" customHeight="1">
      <c r="D377" s="605"/>
      <c r="F377" s="605"/>
      <c r="H377" s="605"/>
    </row>
    <row r="378" spans="4:8" ht="13.5" customHeight="1">
      <c r="D378" s="605"/>
      <c r="F378" s="605"/>
      <c r="H378" s="605"/>
    </row>
    <row r="379" spans="4:8" ht="13.5" customHeight="1">
      <c r="D379" s="605"/>
      <c r="F379" s="605"/>
      <c r="H379" s="605"/>
    </row>
    <row r="380" spans="4:8" ht="13.5" customHeight="1">
      <c r="D380" s="605"/>
      <c r="F380" s="605"/>
      <c r="H380" s="605"/>
    </row>
    <row r="381" spans="4:8" ht="13.5" customHeight="1">
      <c r="D381" s="605"/>
      <c r="F381" s="605"/>
      <c r="H381" s="605"/>
    </row>
    <row r="382" spans="4:8" ht="13.5" customHeight="1">
      <c r="D382" s="605"/>
      <c r="F382" s="605"/>
      <c r="H382" s="605"/>
    </row>
    <row r="383" spans="4:8" ht="13.5" customHeight="1">
      <c r="D383" s="605"/>
      <c r="F383" s="605"/>
      <c r="H383" s="605"/>
    </row>
    <row r="384" spans="4:8" ht="13.5" customHeight="1">
      <c r="D384" s="605"/>
      <c r="F384" s="605"/>
      <c r="H384" s="605"/>
    </row>
    <row r="385" spans="4:8" ht="13.5" customHeight="1">
      <c r="D385" s="605"/>
      <c r="F385" s="605"/>
      <c r="H385" s="605"/>
    </row>
    <row r="386" spans="4:8" ht="13.5" customHeight="1">
      <c r="D386" s="605"/>
      <c r="F386" s="605"/>
      <c r="H386" s="605"/>
    </row>
    <row r="387" spans="4:8" ht="13.5" customHeight="1">
      <c r="D387" s="605"/>
      <c r="F387" s="605"/>
      <c r="H387" s="605"/>
    </row>
    <row r="388" spans="4:8" ht="13.5" customHeight="1">
      <c r="D388" s="605"/>
      <c r="F388" s="605"/>
      <c r="H388" s="605"/>
    </row>
    <row r="389" spans="4:8" ht="13.5" customHeight="1">
      <c r="D389" s="605"/>
      <c r="F389" s="605"/>
      <c r="H389" s="605"/>
    </row>
    <row r="390" spans="4:8" ht="13.5" customHeight="1">
      <c r="D390" s="605"/>
      <c r="F390" s="605"/>
      <c r="H390" s="605"/>
    </row>
    <row r="391" spans="4:8" ht="13.5" customHeight="1">
      <c r="D391" s="605"/>
      <c r="F391" s="605"/>
      <c r="H391" s="605"/>
    </row>
    <row r="392" spans="4:8" ht="13.5" customHeight="1">
      <c r="D392" s="605"/>
      <c r="F392" s="605"/>
      <c r="H392" s="605"/>
    </row>
    <row r="393" spans="4:8" ht="13.5" customHeight="1">
      <c r="D393" s="605"/>
      <c r="F393" s="605"/>
      <c r="H393" s="605"/>
    </row>
    <row r="394" spans="4:8" ht="13.5" customHeight="1">
      <c r="D394" s="605"/>
      <c r="F394" s="605"/>
      <c r="H394" s="605"/>
    </row>
    <row r="395" spans="4:8" ht="13.5" customHeight="1">
      <c r="D395" s="605"/>
      <c r="F395" s="605"/>
      <c r="H395" s="605"/>
    </row>
    <row r="396" spans="4:8" ht="13.5" customHeight="1">
      <c r="D396" s="605"/>
      <c r="F396" s="605"/>
      <c r="H396" s="605"/>
    </row>
    <row r="397" spans="4:8" ht="13.5" customHeight="1">
      <c r="D397" s="605"/>
      <c r="F397" s="605"/>
      <c r="H397" s="605"/>
    </row>
    <row r="398" spans="4:8" ht="13.5" customHeight="1">
      <c r="D398" s="605"/>
      <c r="F398" s="605"/>
      <c r="H398" s="605"/>
    </row>
    <row r="399" spans="4:8" ht="13.5" customHeight="1">
      <c r="D399" s="605"/>
      <c r="F399" s="605"/>
      <c r="H399" s="605"/>
    </row>
    <row r="400" spans="4:8" ht="13.5" customHeight="1">
      <c r="D400" s="605"/>
      <c r="F400" s="605"/>
      <c r="H400" s="605"/>
    </row>
    <row r="401" spans="4:8" ht="13.5" customHeight="1">
      <c r="D401" s="605"/>
      <c r="F401" s="605"/>
      <c r="H401" s="605"/>
    </row>
    <row r="402" spans="4:8" ht="13.5" customHeight="1">
      <c r="D402" s="605"/>
      <c r="F402" s="605"/>
      <c r="H402" s="605"/>
    </row>
    <row r="403" spans="4:8" ht="13.5" customHeight="1">
      <c r="D403" s="605"/>
      <c r="F403" s="605"/>
      <c r="H403" s="605"/>
    </row>
    <row r="404" spans="4:8" ht="13.5" customHeight="1">
      <c r="D404" s="605"/>
      <c r="F404" s="605"/>
      <c r="H404" s="605"/>
    </row>
    <row r="405" spans="4:8" ht="13.5" customHeight="1">
      <c r="D405" s="605"/>
      <c r="F405" s="605"/>
      <c r="H405" s="605"/>
    </row>
    <row r="406" spans="4:8" ht="13.5" customHeight="1">
      <c r="D406" s="605"/>
      <c r="F406" s="605"/>
      <c r="H406" s="605"/>
    </row>
    <row r="407" spans="4:8" ht="13.5" customHeight="1">
      <c r="D407" s="605"/>
      <c r="F407" s="605"/>
      <c r="H407" s="605"/>
    </row>
    <row r="408" spans="4:8" ht="13.5" customHeight="1">
      <c r="D408" s="605"/>
      <c r="F408" s="605"/>
      <c r="H408" s="605"/>
    </row>
    <row r="409" spans="4:8" ht="13.5" customHeight="1">
      <c r="D409" s="605"/>
      <c r="F409" s="605"/>
      <c r="H409" s="605"/>
    </row>
    <row r="410" spans="4:8" ht="13.5" customHeight="1">
      <c r="D410" s="605"/>
      <c r="F410" s="605"/>
      <c r="H410" s="605"/>
    </row>
    <row r="411" spans="4:8" ht="13.5" customHeight="1">
      <c r="D411" s="605"/>
      <c r="F411" s="605"/>
      <c r="H411" s="605"/>
    </row>
    <row r="412" spans="4:8" ht="13.5" customHeight="1">
      <c r="D412" s="605"/>
      <c r="F412" s="605"/>
      <c r="H412" s="605"/>
    </row>
    <row r="413" spans="4:8" ht="13.5" customHeight="1">
      <c r="D413" s="605"/>
      <c r="F413" s="605"/>
      <c r="H413" s="605"/>
    </row>
    <row r="414" spans="4:8" ht="13.5" customHeight="1">
      <c r="D414" s="605"/>
      <c r="F414" s="605"/>
      <c r="H414" s="605"/>
    </row>
    <row r="415" spans="4:8" ht="13.5" customHeight="1">
      <c r="D415" s="605"/>
      <c r="F415" s="605"/>
      <c r="H415" s="605"/>
    </row>
    <row r="416" spans="4:8" ht="13.5" customHeight="1">
      <c r="D416" s="605"/>
      <c r="F416" s="605"/>
      <c r="H416" s="605"/>
    </row>
    <row r="417" spans="4:8" ht="13.5" customHeight="1">
      <c r="D417" s="605"/>
      <c r="F417" s="605"/>
      <c r="H417" s="605"/>
    </row>
    <row r="418" spans="4:8" ht="13.5" customHeight="1">
      <c r="D418" s="605"/>
      <c r="F418" s="605"/>
      <c r="H418" s="605"/>
    </row>
    <row r="419" spans="4:8" ht="13.5" customHeight="1">
      <c r="D419" s="605"/>
      <c r="F419" s="605"/>
      <c r="H419" s="605"/>
    </row>
    <row r="420" spans="4:8" ht="13.5" customHeight="1">
      <c r="D420" s="605"/>
      <c r="F420" s="605"/>
      <c r="H420" s="605"/>
    </row>
    <row r="421" spans="4:8" ht="13.5" customHeight="1">
      <c r="D421" s="605"/>
      <c r="F421" s="605"/>
      <c r="H421" s="605"/>
    </row>
    <row r="422" spans="4:8" ht="13.5" customHeight="1">
      <c r="D422" s="605"/>
      <c r="F422" s="605"/>
      <c r="H422" s="605"/>
    </row>
    <row r="423" spans="4:8" ht="13.5" customHeight="1">
      <c r="D423" s="605"/>
      <c r="F423" s="605"/>
      <c r="H423" s="605"/>
    </row>
    <row r="424" spans="4:8" ht="13.5" customHeight="1">
      <c r="D424" s="605"/>
      <c r="F424" s="605"/>
      <c r="H424" s="605"/>
    </row>
    <row r="425" spans="4:8" ht="13.5" customHeight="1">
      <c r="D425" s="605"/>
      <c r="F425" s="605"/>
      <c r="H425" s="605"/>
    </row>
    <row r="426" spans="4:8" ht="13.5" customHeight="1">
      <c r="D426" s="605"/>
      <c r="F426" s="605"/>
      <c r="H426" s="605"/>
    </row>
    <row r="427" spans="4:8" ht="13.5" customHeight="1">
      <c r="D427" s="605"/>
      <c r="F427" s="605"/>
      <c r="H427" s="605"/>
    </row>
    <row r="428" spans="4:8" ht="13.5" customHeight="1">
      <c r="D428" s="605"/>
      <c r="F428" s="605"/>
      <c r="H428" s="605"/>
    </row>
    <row r="429" spans="4:8" ht="13.5" customHeight="1">
      <c r="D429" s="605"/>
      <c r="F429" s="605"/>
      <c r="H429" s="605"/>
    </row>
    <row r="430" spans="4:8" ht="13.5" customHeight="1">
      <c r="D430" s="605"/>
      <c r="F430" s="605"/>
      <c r="H430" s="605"/>
    </row>
    <row r="431" spans="4:8" ht="13.5" customHeight="1">
      <c r="D431" s="605"/>
      <c r="F431" s="605"/>
      <c r="H431" s="605"/>
    </row>
    <row r="432" spans="4:8" ht="13.5" customHeight="1">
      <c r="D432" s="605"/>
      <c r="F432" s="605"/>
      <c r="H432" s="605"/>
    </row>
    <row r="433" spans="4:8" ht="13.5" customHeight="1">
      <c r="D433" s="605"/>
      <c r="F433" s="605"/>
      <c r="H433" s="605"/>
    </row>
    <row r="434" spans="4:8" ht="13.5" customHeight="1">
      <c r="D434" s="605"/>
      <c r="F434" s="605"/>
      <c r="H434" s="605"/>
    </row>
    <row r="435" spans="4:8" ht="13.5" customHeight="1">
      <c r="D435" s="605"/>
      <c r="F435" s="605"/>
      <c r="H435" s="605"/>
    </row>
    <row r="436" spans="4:8" ht="13.5" customHeight="1">
      <c r="D436" s="605"/>
      <c r="F436" s="605"/>
      <c r="H436" s="605"/>
    </row>
    <row r="437" spans="4:8" ht="13.5" customHeight="1">
      <c r="D437" s="605"/>
      <c r="F437" s="605"/>
      <c r="H437" s="605"/>
    </row>
    <row r="438" spans="4:8" ht="13.5" customHeight="1">
      <c r="D438" s="605"/>
      <c r="F438" s="605"/>
      <c r="H438" s="605"/>
    </row>
    <row r="439" spans="4:8" ht="13.5" customHeight="1">
      <c r="D439" s="605"/>
      <c r="F439" s="605"/>
      <c r="H439" s="605"/>
    </row>
    <row r="440" spans="4:8" ht="13.5" customHeight="1">
      <c r="D440" s="605"/>
      <c r="F440" s="605"/>
      <c r="H440" s="605"/>
    </row>
    <row r="441" spans="4:8" ht="13.5" customHeight="1">
      <c r="D441" s="605"/>
      <c r="F441" s="605"/>
      <c r="H441" s="605"/>
    </row>
    <row r="442" spans="4:8" ht="13.5" customHeight="1">
      <c r="D442" s="605"/>
      <c r="F442" s="605"/>
      <c r="H442" s="605"/>
    </row>
    <row r="443" spans="4:8" ht="13.5" customHeight="1">
      <c r="D443" s="605"/>
      <c r="F443" s="605"/>
      <c r="H443" s="605"/>
    </row>
    <row r="444" spans="4:8" ht="13.5" customHeight="1">
      <c r="D444" s="605"/>
      <c r="F444" s="605"/>
      <c r="H444" s="605"/>
    </row>
    <row r="445" spans="4:8" ht="13.5" customHeight="1">
      <c r="D445" s="605"/>
      <c r="F445" s="605"/>
      <c r="H445" s="605"/>
    </row>
    <row r="446" spans="4:8" ht="13.5" customHeight="1">
      <c r="D446" s="605"/>
      <c r="F446" s="605"/>
      <c r="H446" s="605"/>
    </row>
    <row r="447" spans="4:8" ht="13.5" customHeight="1">
      <c r="D447" s="605"/>
      <c r="F447" s="605"/>
      <c r="H447" s="605"/>
    </row>
    <row r="448" spans="4:8" ht="13.5" customHeight="1">
      <c r="D448" s="605"/>
      <c r="F448" s="605"/>
      <c r="H448" s="605"/>
    </row>
    <row r="449" spans="4:8" ht="13.5" customHeight="1">
      <c r="D449" s="605"/>
      <c r="F449" s="605"/>
      <c r="H449" s="605"/>
    </row>
    <row r="450" spans="4:8" ht="13.5" customHeight="1">
      <c r="D450" s="605"/>
      <c r="F450" s="605"/>
      <c r="H450" s="605"/>
    </row>
    <row r="451" spans="4:8" ht="13.5" customHeight="1">
      <c r="D451" s="605"/>
      <c r="F451" s="605"/>
      <c r="H451" s="605"/>
    </row>
    <row r="452" spans="4:8" ht="13.5" customHeight="1">
      <c r="D452" s="605"/>
      <c r="F452" s="605"/>
      <c r="H452" s="605"/>
    </row>
    <row r="453" spans="4:8" ht="13.5" customHeight="1">
      <c r="D453" s="605"/>
      <c r="F453" s="605"/>
      <c r="H453" s="605"/>
    </row>
    <row r="454" spans="4:8" ht="13.5" customHeight="1">
      <c r="D454" s="605"/>
      <c r="F454" s="605"/>
      <c r="H454" s="605"/>
    </row>
    <row r="455" spans="4:8" ht="13.5" customHeight="1">
      <c r="D455" s="605"/>
      <c r="F455" s="605"/>
      <c r="H455" s="605"/>
    </row>
    <row r="456" spans="4:8" ht="13.5" customHeight="1">
      <c r="D456" s="605"/>
      <c r="F456" s="605"/>
      <c r="H456" s="605"/>
    </row>
    <row r="457" spans="4:8" ht="13.5" customHeight="1">
      <c r="D457" s="605"/>
      <c r="F457" s="605"/>
      <c r="H457" s="605"/>
    </row>
    <row r="458" spans="4:8" ht="13.5" customHeight="1">
      <c r="D458" s="605"/>
      <c r="F458" s="605"/>
      <c r="H458" s="605"/>
    </row>
    <row r="459" spans="4:8" ht="13.5" customHeight="1">
      <c r="D459" s="605"/>
      <c r="F459" s="605"/>
      <c r="H459" s="605"/>
    </row>
    <row r="460" spans="4:8" ht="13.5" customHeight="1">
      <c r="D460" s="605"/>
      <c r="F460" s="605"/>
      <c r="H460" s="605"/>
    </row>
    <row r="461" spans="4:8" ht="13.5" customHeight="1">
      <c r="D461" s="605"/>
      <c r="F461" s="605"/>
      <c r="H461" s="605"/>
    </row>
    <row r="462" spans="4:8" ht="13.5" customHeight="1">
      <c r="D462" s="605"/>
      <c r="F462" s="605"/>
      <c r="H462" s="605"/>
    </row>
    <row r="463" spans="4:8" ht="13.5" customHeight="1">
      <c r="D463" s="605"/>
      <c r="F463" s="605"/>
      <c r="H463" s="605"/>
    </row>
    <row r="464" spans="4:8" ht="13.5" customHeight="1">
      <c r="D464" s="605"/>
      <c r="F464" s="605"/>
      <c r="H464" s="605"/>
    </row>
    <row r="465" spans="4:8" ht="13.5" customHeight="1">
      <c r="D465" s="605"/>
      <c r="F465" s="605"/>
      <c r="H465" s="605"/>
    </row>
    <row r="466" spans="4:8" ht="13.5" customHeight="1">
      <c r="D466" s="605"/>
      <c r="F466" s="605"/>
      <c r="H466" s="605"/>
    </row>
    <row r="467" spans="4:8" ht="13.5" customHeight="1">
      <c r="D467" s="605"/>
      <c r="F467" s="605"/>
      <c r="H467" s="605"/>
    </row>
    <row r="468" spans="4:8" ht="13.5" customHeight="1">
      <c r="D468" s="605"/>
      <c r="F468" s="605"/>
      <c r="H468" s="605"/>
    </row>
    <row r="469" spans="4:8" ht="13.5" customHeight="1">
      <c r="D469" s="605"/>
      <c r="F469" s="605"/>
      <c r="H469" s="605"/>
    </row>
    <row r="470" spans="4:8" ht="13.5" customHeight="1">
      <c r="D470" s="605"/>
      <c r="F470" s="605"/>
      <c r="H470" s="605"/>
    </row>
    <row r="471" spans="4:8" ht="13.5" customHeight="1">
      <c r="D471" s="605"/>
      <c r="F471" s="605"/>
      <c r="H471" s="605"/>
    </row>
    <row r="472" spans="4:8" ht="13.5" customHeight="1">
      <c r="D472" s="605"/>
      <c r="F472" s="605"/>
      <c r="H472" s="605"/>
    </row>
    <row r="473" spans="4:8" ht="13.5" customHeight="1">
      <c r="D473" s="605"/>
      <c r="F473" s="605"/>
      <c r="H473" s="605"/>
    </row>
    <row r="474" spans="4:8" ht="13.5" customHeight="1">
      <c r="D474" s="605"/>
      <c r="F474" s="605"/>
      <c r="H474" s="605"/>
    </row>
    <row r="475" spans="4:8" ht="13.5" customHeight="1">
      <c r="D475" s="605"/>
      <c r="F475" s="605"/>
      <c r="H475" s="605"/>
    </row>
    <row r="476" spans="4:8" ht="13.5" customHeight="1">
      <c r="D476" s="605"/>
      <c r="F476" s="605"/>
      <c r="H476" s="605"/>
    </row>
    <row r="477" spans="4:8" ht="13.5" customHeight="1">
      <c r="D477" s="605"/>
      <c r="F477" s="605"/>
      <c r="H477" s="605"/>
    </row>
    <row r="478" spans="4:8" ht="13.5" customHeight="1">
      <c r="D478" s="605"/>
      <c r="F478" s="605"/>
      <c r="H478" s="605"/>
    </row>
    <row r="479" spans="4:8" ht="13.5" customHeight="1">
      <c r="D479" s="605"/>
      <c r="F479" s="605"/>
      <c r="H479" s="605"/>
    </row>
    <row r="480" spans="4:8" ht="13.5" customHeight="1">
      <c r="D480" s="605"/>
      <c r="F480" s="605"/>
      <c r="H480" s="605"/>
    </row>
    <row r="481" spans="4:8" ht="13.5" customHeight="1">
      <c r="D481" s="605"/>
      <c r="F481" s="605"/>
      <c r="H481" s="605"/>
    </row>
    <row r="482" spans="4:8" ht="13.5" customHeight="1">
      <c r="D482" s="605"/>
      <c r="F482" s="605"/>
      <c r="H482" s="605"/>
    </row>
    <row r="483" spans="4:8" ht="13.5" customHeight="1">
      <c r="D483" s="605"/>
      <c r="F483" s="605"/>
      <c r="H483" s="605"/>
    </row>
    <row r="484" spans="4:8" ht="13.5" customHeight="1">
      <c r="D484" s="605"/>
      <c r="F484" s="605"/>
      <c r="H484" s="605"/>
    </row>
    <row r="485" spans="4:8" ht="13.5" customHeight="1">
      <c r="D485" s="605"/>
      <c r="F485" s="605"/>
      <c r="H485" s="605"/>
    </row>
    <row r="486" spans="4:8" ht="13.5" customHeight="1">
      <c r="D486" s="605"/>
      <c r="F486" s="605"/>
      <c r="H486" s="605"/>
    </row>
    <row r="487" spans="4:8" ht="13.5" customHeight="1">
      <c r="D487" s="605"/>
      <c r="F487" s="605"/>
      <c r="H487" s="605"/>
    </row>
    <row r="488" spans="4:8" ht="13.5" customHeight="1">
      <c r="D488" s="605"/>
      <c r="F488" s="605"/>
      <c r="H488" s="605"/>
    </row>
    <row r="489" spans="4:8" ht="13.5" customHeight="1">
      <c r="D489" s="605"/>
      <c r="F489" s="605"/>
      <c r="H489" s="605"/>
    </row>
    <row r="490" spans="4:8" ht="13.5" customHeight="1">
      <c r="D490" s="605"/>
      <c r="F490" s="605"/>
      <c r="H490" s="605"/>
    </row>
    <row r="491" spans="4:8" ht="13.5" customHeight="1">
      <c r="D491" s="605"/>
      <c r="F491" s="605"/>
      <c r="H491" s="605"/>
    </row>
    <row r="492" spans="4:8" ht="13.5" customHeight="1">
      <c r="D492" s="605"/>
      <c r="F492" s="605"/>
      <c r="H492" s="605"/>
    </row>
    <row r="493" spans="4:8" ht="13.5" customHeight="1">
      <c r="D493" s="605"/>
      <c r="F493" s="605"/>
      <c r="H493" s="605"/>
    </row>
    <row r="494" spans="4:8" ht="13.5" customHeight="1">
      <c r="D494" s="605"/>
      <c r="F494" s="605"/>
      <c r="H494" s="605"/>
    </row>
    <row r="495" spans="4:8" ht="13.5" customHeight="1">
      <c r="D495" s="605"/>
      <c r="F495" s="605"/>
      <c r="H495" s="605"/>
    </row>
    <row r="496" spans="4:8" ht="13.5" customHeight="1">
      <c r="D496" s="605"/>
      <c r="F496" s="605"/>
      <c r="H496" s="605"/>
    </row>
    <row r="497" spans="4:8" ht="13.5" customHeight="1">
      <c r="D497" s="605"/>
      <c r="F497" s="605"/>
      <c r="H497" s="605"/>
    </row>
    <row r="498" spans="4:8" ht="13.5" customHeight="1">
      <c r="D498" s="605"/>
      <c r="F498" s="605"/>
      <c r="H498" s="605"/>
    </row>
    <row r="499" spans="4:8" ht="13.5" customHeight="1">
      <c r="D499" s="605"/>
      <c r="F499" s="605"/>
      <c r="H499" s="605"/>
    </row>
    <row r="500" spans="4:8" ht="13.5" customHeight="1">
      <c r="D500" s="605"/>
      <c r="F500" s="605"/>
      <c r="H500" s="605"/>
    </row>
    <row r="501" spans="4:8" ht="13.5" customHeight="1">
      <c r="D501" s="605"/>
      <c r="F501" s="605"/>
      <c r="H501" s="605"/>
    </row>
    <row r="502" spans="4:8" ht="13.5" customHeight="1">
      <c r="D502" s="605"/>
      <c r="F502" s="605"/>
      <c r="H502" s="605"/>
    </row>
    <row r="503" spans="4:8" ht="13.5" customHeight="1">
      <c r="D503" s="605"/>
      <c r="F503" s="605"/>
      <c r="H503" s="605"/>
    </row>
    <row r="504" spans="4:8" ht="13.5" customHeight="1">
      <c r="D504" s="605"/>
      <c r="F504" s="605"/>
      <c r="H504" s="605"/>
    </row>
    <row r="505" spans="4:8" ht="13.5" customHeight="1">
      <c r="D505" s="605"/>
      <c r="F505" s="605"/>
      <c r="H505" s="605"/>
    </row>
    <row r="506" spans="4:8" ht="13.5" customHeight="1">
      <c r="D506" s="605"/>
      <c r="F506" s="605"/>
      <c r="H506" s="605"/>
    </row>
    <row r="507" spans="4:8" ht="13.5" customHeight="1">
      <c r="D507" s="605"/>
      <c r="F507" s="605"/>
      <c r="H507" s="605"/>
    </row>
    <row r="508" spans="4:8" ht="13.5" customHeight="1">
      <c r="D508" s="605"/>
      <c r="F508" s="605"/>
      <c r="H508" s="605"/>
    </row>
    <row r="509" spans="4:8" ht="13.5" customHeight="1">
      <c r="D509" s="605"/>
      <c r="F509" s="605"/>
      <c r="H509" s="605"/>
    </row>
    <row r="510" spans="4:8" ht="13.5" customHeight="1">
      <c r="D510" s="605"/>
      <c r="F510" s="605"/>
      <c r="H510" s="605"/>
    </row>
    <row r="511" spans="4:8" ht="13.5" customHeight="1">
      <c r="D511" s="605"/>
      <c r="F511" s="605"/>
      <c r="H511" s="605"/>
    </row>
    <row r="512" spans="4:8" ht="13.5" customHeight="1">
      <c r="D512" s="605"/>
      <c r="F512" s="605"/>
      <c r="H512" s="605"/>
    </row>
    <row r="513" spans="4:8" ht="13.5" customHeight="1">
      <c r="D513" s="605"/>
      <c r="F513" s="605"/>
      <c r="H513" s="605"/>
    </row>
    <row r="514" spans="4:8" ht="13.5" customHeight="1">
      <c r="D514" s="605"/>
      <c r="F514" s="605"/>
      <c r="H514" s="605"/>
    </row>
    <row r="515" spans="4:8" ht="13.5" customHeight="1">
      <c r="D515" s="605"/>
      <c r="F515" s="605"/>
      <c r="H515" s="605"/>
    </row>
    <row r="516" spans="4:8" ht="13.5" customHeight="1">
      <c r="D516" s="605"/>
      <c r="F516" s="605"/>
      <c r="H516" s="605"/>
    </row>
    <row r="517" spans="4:8" ht="13.5" customHeight="1">
      <c r="D517" s="605"/>
      <c r="F517" s="605"/>
      <c r="H517" s="605"/>
    </row>
    <row r="518" spans="4:8" ht="13.5" customHeight="1">
      <c r="D518" s="605"/>
      <c r="F518" s="605"/>
      <c r="H518" s="605"/>
    </row>
    <row r="519" spans="4:8" ht="13.5" customHeight="1">
      <c r="D519" s="605"/>
      <c r="F519" s="605"/>
      <c r="H519" s="605"/>
    </row>
    <row r="520" spans="4:8" ht="13.5" customHeight="1">
      <c r="D520" s="605"/>
      <c r="F520" s="605"/>
      <c r="H520" s="605"/>
    </row>
    <row r="521" spans="4:8" ht="13.5" customHeight="1">
      <c r="D521" s="605"/>
      <c r="F521" s="605"/>
      <c r="H521" s="605"/>
    </row>
    <row r="522" spans="4:8" ht="13.5" customHeight="1">
      <c r="D522" s="605"/>
      <c r="F522" s="605"/>
      <c r="H522" s="605"/>
    </row>
    <row r="523" spans="4:8" ht="13.5" customHeight="1">
      <c r="D523" s="605"/>
      <c r="F523" s="605"/>
      <c r="H523" s="605"/>
    </row>
    <row r="524" spans="4:8" ht="13.5" customHeight="1">
      <c r="D524" s="605"/>
      <c r="F524" s="605"/>
      <c r="H524" s="605"/>
    </row>
    <row r="525" spans="4:8" ht="13.5" customHeight="1">
      <c r="D525" s="605"/>
      <c r="F525" s="605"/>
      <c r="H525" s="605"/>
    </row>
    <row r="526" spans="4:8" ht="13.5" customHeight="1">
      <c r="D526" s="605"/>
      <c r="F526" s="605"/>
      <c r="H526" s="605"/>
    </row>
    <row r="527" spans="4:8" ht="13.5" customHeight="1">
      <c r="D527" s="605"/>
      <c r="F527" s="605"/>
      <c r="H527" s="605"/>
    </row>
    <row r="528" spans="4:8" ht="13.5" customHeight="1">
      <c r="D528" s="605"/>
      <c r="F528" s="605"/>
      <c r="H528" s="605"/>
    </row>
    <row r="529" spans="4:8" ht="13.5" customHeight="1">
      <c r="D529" s="605"/>
      <c r="F529" s="605"/>
      <c r="H529" s="605"/>
    </row>
    <row r="530" spans="4:8" ht="13.5" customHeight="1">
      <c r="D530" s="605"/>
      <c r="F530" s="605"/>
      <c r="H530" s="605"/>
    </row>
    <row r="531" spans="4:8" ht="13.5" customHeight="1">
      <c r="D531" s="605"/>
      <c r="F531" s="605"/>
      <c r="H531" s="605"/>
    </row>
    <row r="532" spans="4:8" ht="13.5" customHeight="1">
      <c r="D532" s="605"/>
      <c r="F532" s="605"/>
      <c r="H532" s="605"/>
    </row>
    <row r="533" spans="4:8" ht="13.5" customHeight="1">
      <c r="D533" s="605"/>
      <c r="F533" s="605"/>
      <c r="H533" s="605"/>
    </row>
    <row r="534" spans="4:8" ht="13.5" customHeight="1">
      <c r="D534" s="605"/>
      <c r="F534" s="605"/>
      <c r="H534" s="605"/>
    </row>
    <row r="535" spans="4:8" ht="13.5" customHeight="1">
      <c r="D535" s="605"/>
      <c r="F535" s="605"/>
      <c r="H535" s="605"/>
    </row>
    <row r="536" spans="4:8" ht="13.5" customHeight="1">
      <c r="D536" s="605"/>
      <c r="F536" s="605"/>
      <c r="H536" s="605"/>
    </row>
    <row r="537" spans="4:8" ht="13.5" customHeight="1">
      <c r="D537" s="605"/>
      <c r="F537" s="605"/>
      <c r="H537" s="605"/>
    </row>
    <row r="538" spans="4:8" ht="13.5" customHeight="1">
      <c r="D538" s="605"/>
      <c r="F538" s="605"/>
      <c r="H538" s="605"/>
    </row>
    <row r="539" spans="4:8" ht="13.5" customHeight="1">
      <c r="D539" s="605"/>
      <c r="F539" s="605"/>
      <c r="H539" s="605"/>
    </row>
    <row r="540" spans="4:8" ht="13.5" customHeight="1">
      <c r="D540" s="605"/>
      <c r="F540" s="605"/>
      <c r="H540" s="605"/>
    </row>
    <row r="541" spans="4:8" ht="13.5" customHeight="1">
      <c r="D541" s="605"/>
      <c r="F541" s="605"/>
      <c r="H541" s="605"/>
    </row>
    <row r="542" spans="4:8" ht="13.5" customHeight="1">
      <c r="D542" s="605"/>
      <c r="F542" s="605"/>
      <c r="H542" s="605"/>
    </row>
    <row r="543" spans="4:8" ht="13.5" customHeight="1">
      <c r="D543" s="605"/>
      <c r="F543" s="605"/>
      <c r="H543" s="605"/>
    </row>
    <row r="544" spans="4:8" ht="13.5" customHeight="1">
      <c r="D544" s="605"/>
      <c r="F544" s="605"/>
      <c r="H544" s="605"/>
    </row>
    <row r="545" spans="4:8" ht="13.5" customHeight="1">
      <c r="D545" s="605"/>
      <c r="F545" s="605"/>
      <c r="H545" s="605"/>
    </row>
    <row r="546" spans="4:8" ht="13.5" customHeight="1">
      <c r="D546" s="605"/>
      <c r="F546" s="605"/>
      <c r="H546" s="605"/>
    </row>
    <row r="547" spans="4:8" ht="13.5" customHeight="1">
      <c r="D547" s="605"/>
      <c r="F547" s="605"/>
      <c r="H547" s="605"/>
    </row>
    <row r="548" spans="4:8" ht="13.5" customHeight="1">
      <c r="D548" s="605"/>
      <c r="F548" s="605"/>
      <c r="H548" s="605"/>
    </row>
    <row r="549" spans="4:8" ht="13.5" customHeight="1">
      <c r="D549" s="605"/>
      <c r="F549" s="605"/>
      <c r="H549" s="605"/>
    </row>
    <row r="550" spans="4:8" ht="13.5" customHeight="1">
      <c r="D550" s="605"/>
      <c r="F550" s="605"/>
      <c r="H550" s="605"/>
    </row>
    <row r="551" spans="4:8" ht="13.5" customHeight="1">
      <c r="D551" s="605"/>
      <c r="F551" s="605"/>
      <c r="H551" s="605"/>
    </row>
    <row r="552" spans="4:8" ht="13.5" customHeight="1">
      <c r="D552" s="605"/>
      <c r="F552" s="605"/>
      <c r="H552" s="605"/>
    </row>
    <row r="553" spans="4:8" ht="13.5" customHeight="1">
      <c r="D553" s="605"/>
      <c r="F553" s="605"/>
      <c r="H553" s="605"/>
    </row>
    <row r="554" spans="4:8" ht="13.5" customHeight="1">
      <c r="D554" s="605"/>
      <c r="F554" s="605"/>
      <c r="H554" s="605"/>
    </row>
    <row r="555" spans="4:8" ht="13.5" customHeight="1">
      <c r="D555" s="605"/>
      <c r="F555" s="605"/>
      <c r="H555" s="605"/>
    </row>
    <row r="556" spans="4:8" ht="13.5" customHeight="1">
      <c r="D556" s="605"/>
      <c r="F556" s="605"/>
      <c r="H556" s="605"/>
    </row>
    <row r="557" spans="4:8" ht="13.5" customHeight="1">
      <c r="D557" s="605"/>
      <c r="F557" s="605"/>
      <c r="H557" s="605"/>
    </row>
    <row r="558" spans="4:8" ht="13.5" customHeight="1">
      <c r="D558" s="605"/>
      <c r="F558" s="605"/>
      <c r="H558" s="605"/>
    </row>
    <row r="559" spans="4:8" ht="13.5" customHeight="1">
      <c r="D559" s="605"/>
      <c r="F559" s="605"/>
      <c r="H559" s="605"/>
    </row>
    <row r="560" spans="4:8" ht="13.5" customHeight="1">
      <c r="D560" s="605"/>
      <c r="F560" s="605"/>
      <c r="H560" s="605"/>
    </row>
    <row r="561" spans="4:8" ht="13.5" customHeight="1">
      <c r="D561" s="605"/>
      <c r="F561" s="605"/>
      <c r="H561" s="605"/>
    </row>
    <row r="562" spans="4:8" ht="13.5" customHeight="1">
      <c r="D562" s="605"/>
      <c r="F562" s="605"/>
      <c r="H562" s="605"/>
    </row>
    <row r="563" spans="4:8" ht="13.5" customHeight="1">
      <c r="D563" s="605"/>
      <c r="F563" s="605"/>
      <c r="H563" s="605"/>
    </row>
    <row r="564" spans="4:8" ht="13.5" customHeight="1">
      <c r="D564" s="605"/>
      <c r="F564" s="605"/>
      <c r="H564" s="605"/>
    </row>
    <row r="565" spans="4:8" ht="13.5" customHeight="1">
      <c r="D565" s="605"/>
      <c r="F565" s="605"/>
      <c r="H565" s="605"/>
    </row>
    <row r="566" spans="4:8" ht="13.5" customHeight="1">
      <c r="D566" s="605"/>
      <c r="F566" s="605"/>
      <c r="H566" s="605"/>
    </row>
    <row r="567" spans="4:8" ht="13.5" customHeight="1">
      <c r="D567" s="605"/>
      <c r="F567" s="605"/>
      <c r="H567" s="605"/>
    </row>
    <row r="568" spans="4:8" ht="13.5" customHeight="1">
      <c r="D568" s="605"/>
      <c r="F568" s="605"/>
      <c r="H568" s="605"/>
    </row>
    <row r="569" spans="4:8" ht="13.5" customHeight="1">
      <c r="D569" s="605"/>
      <c r="F569" s="605"/>
      <c r="H569" s="605"/>
    </row>
    <row r="570" spans="4:8" ht="13.5" customHeight="1">
      <c r="D570" s="605"/>
      <c r="F570" s="605"/>
      <c r="H570" s="605"/>
    </row>
    <row r="571" spans="4:8" ht="13.5" customHeight="1">
      <c r="D571" s="605"/>
      <c r="F571" s="605"/>
      <c r="H571" s="605"/>
    </row>
    <row r="572" spans="4:8" ht="13.5" customHeight="1">
      <c r="D572" s="605"/>
      <c r="F572" s="605"/>
      <c r="H572" s="605"/>
    </row>
    <row r="573" spans="4:8" ht="13.5" customHeight="1">
      <c r="D573" s="605"/>
      <c r="F573" s="605"/>
      <c r="H573" s="605"/>
    </row>
    <row r="574" spans="4:8" ht="13.5" customHeight="1">
      <c r="D574" s="605"/>
      <c r="F574" s="605"/>
      <c r="H574" s="605"/>
    </row>
    <row r="575" spans="4:8" ht="13.5" customHeight="1">
      <c r="D575" s="605"/>
      <c r="F575" s="605"/>
      <c r="H575" s="605"/>
    </row>
    <row r="576" spans="4:8" ht="13.5" customHeight="1">
      <c r="D576" s="605"/>
      <c r="F576" s="605"/>
      <c r="H576" s="605"/>
    </row>
    <row r="577" spans="4:8" ht="13.5" customHeight="1">
      <c r="D577" s="605"/>
      <c r="F577" s="605"/>
      <c r="H577" s="605"/>
    </row>
    <row r="578" spans="4:8" ht="13.5" customHeight="1">
      <c r="D578" s="605"/>
      <c r="F578" s="605"/>
      <c r="H578" s="605"/>
    </row>
    <row r="579" spans="4:8" ht="13.5" customHeight="1">
      <c r="D579" s="605"/>
      <c r="F579" s="605"/>
      <c r="H579" s="605"/>
    </row>
    <row r="580" spans="4:8" ht="13.5" customHeight="1">
      <c r="D580" s="605"/>
      <c r="F580" s="605"/>
      <c r="H580" s="605"/>
    </row>
    <row r="581" spans="4:8" ht="13.5" customHeight="1">
      <c r="D581" s="605"/>
      <c r="F581" s="605"/>
      <c r="H581" s="605"/>
    </row>
    <row r="582" spans="4:8" ht="13.5" customHeight="1">
      <c r="D582" s="605"/>
      <c r="F582" s="605"/>
      <c r="H582" s="605"/>
    </row>
    <row r="583" spans="4:8" ht="13.5" customHeight="1">
      <c r="D583" s="605"/>
      <c r="F583" s="605"/>
      <c r="H583" s="605"/>
    </row>
    <row r="584" spans="4:8" ht="13.5" customHeight="1">
      <c r="D584" s="605"/>
      <c r="F584" s="605"/>
      <c r="H584" s="605"/>
    </row>
    <row r="585" spans="4:8" ht="13.5" customHeight="1">
      <c r="D585" s="605"/>
      <c r="F585" s="605"/>
      <c r="H585" s="605"/>
    </row>
    <row r="586" spans="4:8" ht="13.5" customHeight="1">
      <c r="D586" s="605"/>
      <c r="F586" s="605"/>
      <c r="H586" s="605"/>
    </row>
    <row r="587" spans="4:8" ht="13.5" customHeight="1">
      <c r="D587" s="605"/>
      <c r="F587" s="605"/>
      <c r="H587" s="605"/>
    </row>
    <row r="588" spans="4:8" ht="13.5" customHeight="1">
      <c r="D588" s="605"/>
      <c r="F588" s="605"/>
      <c r="H588" s="605"/>
    </row>
    <row r="589" spans="4:8" ht="13.5" customHeight="1">
      <c r="D589" s="605"/>
      <c r="F589" s="605"/>
      <c r="H589" s="605"/>
    </row>
    <row r="590" spans="4:8" ht="13.5" customHeight="1">
      <c r="D590" s="605"/>
      <c r="F590" s="605"/>
      <c r="H590" s="605"/>
    </row>
    <row r="591" spans="4:8" ht="13.5" customHeight="1">
      <c r="D591" s="605"/>
      <c r="F591" s="605"/>
      <c r="H591" s="605"/>
    </row>
    <row r="592" spans="4:8" ht="13.5" customHeight="1">
      <c r="D592" s="605"/>
      <c r="F592" s="605"/>
      <c r="H592" s="605"/>
    </row>
    <row r="593" spans="4:8" ht="13.5" customHeight="1">
      <c r="D593" s="605"/>
      <c r="F593" s="605"/>
      <c r="H593" s="605"/>
    </row>
    <row r="594" spans="4:8" ht="13.5" customHeight="1">
      <c r="D594" s="605"/>
      <c r="F594" s="605"/>
      <c r="H594" s="605"/>
    </row>
    <row r="595" spans="4:8" ht="13.5" customHeight="1">
      <c r="D595" s="605"/>
      <c r="F595" s="605"/>
      <c r="H595" s="605"/>
    </row>
    <row r="596" spans="4:8" ht="13.5" customHeight="1">
      <c r="D596" s="605"/>
      <c r="F596" s="605"/>
      <c r="H596" s="605"/>
    </row>
    <row r="597" spans="4:8" ht="13.5" customHeight="1">
      <c r="D597" s="605"/>
      <c r="F597" s="605"/>
      <c r="H597" s="605"/>
    </row>
    <row r="598" spans="4:8" ht="13.5" customHeight="1">
      <c r="D598" s="605"/>
      <c r="F598" s="605"/>
      <c r="H598" s="605"/>
    </row>
    <row r="599" spans="4:8" ht="13.5" customHeight="1">
      <c r="D599" s="605"/>
      <c r="F599" s="605"/>
      <c r="H599" s="605"/>
    </row>
    <row r="600" spans="4:8" ht="13.5" customHeight="1">
      <c r="D600" s="605"/>
      <c r="F600" s="605"/>
      <c r="H600" s="605"/>
    </row>
    <row r="601" spans="4:8" ht="13.5" customHeight="1">
      <c r="D601" s="605"/>
      <c r="F601" s="605"/>
      <c r="H601" s="605"/>
    </row>
    <row r="602" spans="4:8" ht="13.5" customHeight="1">
      <c r="D602" s="605"/>
      <c r="F602" s="605"/>
      <c r="H602" s="605"/>
    </row>
    <row r="603" spans="4:8" ht="13.5" customHeight="1">
      <c r="D603" s="605"/>
      <c r="F603" s="605"/>
      <c r="H603" s="605"/>
    </row>
    <row r="604" spans="4:8" ht="13.5" customHeight="1">
      <c r="D604" s="605"/>
      <c r="F604" s="605"/>
      <c r="H604" s="605"/>
    </row>
    <row r="605" spans="4:8" ht="13.5" customHeight="1">
      <c r="D605" s="605"/>
      <c r="F605" s="605"/>
      <c r="H605" s="605"/>
    </row>
    <row r="606" spans="4:8" ht="13.5" customHeight="1">
      <c r="D606" s="605"/>
      <c r="F606" s="605"/>
      <c r="H606" s="605"/>
    </row>
    <row r="607" spans="4:8" ht="13.5" customHeight="1">
      <c r="D607" s="605"/>
      <c r="F607" s="605"/>
      <c r="H607" s="605"/>
    </row>
    <row r="608" spans="4:8" ht="13.5" customHeight="1">
      <c r="D608" s="605"/>
      <c r="F608" s="605"/>
      <c r="H608" s="605"/>
    </row>
    <row r="609" spans="4:8" ht="13.5" customHeight="1">
      <c r="D609" s="605"/>
      <c r="F609" s="605"/>
      <c r="H609" s="605"/>
    </row>
    <row r="610" spans="4:8" ht="13.5" customHeight="1">
      <c r="D610" s="605"/>
      <c r="F610" s="605"/>
      <c r="H610" s="605"/>
    </row>
    <row r="611" spans="4:8" ht="13.5" customHeight="1">
      <c r="D611" s="605"/>
      <c r="F611" s="605"/>
      <c r="H611" s="605"/>
    </row>
    <row r="612" spans="4:8" ht="13.5" customHeight="1">
      <c r="D612" s="605"/>
      <c r="F612" s="605"/>
      <c r="H612" s="605"/>
    </row>
    <row r="613" spans="4:8" ht="13.5" customHeight="1">
      <c r="D613" s="605"/>
      <c r="F613" s="605"/>
      <c r="H613" s="605"/>
    </row>
    <row r="614" spans="4:8" ht="13.5" customHeight="1">
      <c r="D614" s="605"/>
      <c r="F614" s="605"/>
      <c r="H614" s="605"/>
    </row>
    <row r="615" spans="4:8" ht="13.5" customHeight="1">
      <c r="D615" s="605"/>
      <c r="F615" s="605"/>
      <c r="H615" s="605"/>
    </row>
    <row r="616" spans="4:8" ht="13.5" customHeight="1">
      <c r="D616" s="605"/>
      <c r="F616" s="605"/>
      <c r="H616" s="605"/>
    </row>
    <row r="617" spans="4:8" ht="13.5" customHeight="1">
      <c r="D617" s="605"/>
      <c r="F617" s="605"/>
      <c r="H617" s="605"/>
    </row>
    <row r="618" spans="4:8" ht="13.5" customHeight="1">
      <c r="D618" s="605"/>
      <c r="F618" s="605"/>
      <c r="H618" s="605"/>
    </row>
    <row r="619" spans="4:8" ht="13.5" customHeight="1">
      <c r="D619" s="605"/>
      <c r="F619" s="605"/>
      <c r="H619" s="605"/>
    </row>
    <row r="620" spans="4:8" ht="13.5" customHeight="1">
      <c r="D620" s="605"/>
      <c r="F620" s="605"/>
      <c r="H620" s="605"/>
    </row>
    <row r="621" spans="4:8" ht="13.5" customHeight="1">
      <c r="D621" s="605"/>
      <c r="F621" s="605"/>
      <c r="H621" s="605"/>
    </row>
    <row r="622" spans="4:8" ht="13.5" customHeight="1">
      <c r="D622" s="605"/>
      <c r="F622" s="605"/>
      <c r="H622" s="605"/>
    </row>
    <row r="623" spans="4:8" ht="13.5" customHeight="1">
      <c r="D623" s="605"/>
      <c r="F623" s="605"/>
      <c r="H623" s="605"/>
    </row>
    <row r="624" spans="4:8" ht="13.5" customHeight="1">
      <c r="D624" s="605"/>
      <c r="F624" s="605"/>
      <c r="H624" s="605"/>
    </row>
    <row r="625" spans="4:8" ht="13.5" customHeight="1">
      <c r="D625" s="605"/>
      <c r="F625" s="605"/>
      <c r="H625" s="605"/>
    </row>
    <row r="626" spans="4:8" ht="13.5" customHeight="1">
      <c r="D626" s="605"/>
      <c r="F626" s="605"/>
      <c r="H626" s="605"/>
    </row>
    <row r="627" spans="4:8" ht="13.5" customHeight="1">
      <c r="D627" s="605"/>
      <c r="F627" s="605"/>
      <c r="H627" s="605"/>
    </row>
    <row r="628" spans="4:8" ht="13.5" customHeight="1">
      <c r="D628" s="605"/>
      <c r="F628" s="605"/>
      <c r="H628" s="605"/>
    </row>
    <row r="629" spans="4:8" ht="13.5" customHeight="1">
      <c r="D629" s="605"/>
      <c r="F629" s="605"/>
      <c r="H629" s="605"/>
    </row>
    <row r="630" spans="4:8" ht="13.5" customHeight="1">
      <c r="D630" s="605"/>
      <c r="F630" s="605"/>
      <c r="H630" s="605"/>
    </row>
    <row r="631" spans="4:8" ht="13.5" customHeight="1">
      <c r="D631" s="605"/>
      <c r="F631" s="605"/>
      <c r="H631" s="605"/>
    </row>
    <row r="632" spans="4:8" ht="13.5" customHeight="1">
      <c r="D632" s="605"/>
      <c r="F632" s="605"/>
      <c r="H632" s="605"/>
    </row>
    <row r="633" spans="4:8" ht="13.5" customHeight="1">
      <c r="D633" s="605"/>
      <c r="F633" s="605"/>
      <c r="H633" s="605"/>
    </row>
    <row r="634" spans="4:8" ht="13.5" customHeight="1">
      <c r="D634" s="605"/>
      <c r="F634" s="605"/>
      <c r="H634" s="605"/>
    </row>
    <row r="635" spans="4:8" ht="13.5" customHeight="1">
      <c r="D635" s="605"/>
      <c r="F635" s="605"/>
      <c r="H635" s="605"/>
    </row>
    <row r="636" spans="4:8" ht="13.5" customHeight="1">
      <c r="D636" s="605"/>
      <c r="F636" s="605"/>
      <c r="H636" s="605"/>
    </row>
    <row r="637" spans="4:8" ht="13.5" customHeight="1">
      <c r="D637" s="605"/>
      <c r="F637" s="605"/>
      <c r="H637" s="605"/>
    </row>
    <row r="638" spans="4:8" ht="13.5" customHeight="1">
      <c r="D638" s="605"/>
      <c r="F638" s="605"/>
      <c r="H638" s="605"/>
    </row>
    <row r="639" spans="4:8" ht="13.5" customHeight="1">
      <c r="D639" s="605"/>
      <c r="F639" s="605"/>
      <c r="H639" s="605"/>
    </row>
    <row r="640" spans="4:8" ht="13.5" customHeight="1">
      <c r="D640" s="605"/>
      <c r="F640" s="605"/>
      <c r="H640" s="605"/>
    </row>
    <row r="641" spans="4:8" ht="13.5" customHeight="1">
      <c r="D641" s="605"/>
      <c r="F641" s="605"/>
      <c r="H641" s="605"/>
    </row>
    <row r="642" spans="4:8" ht="13.5" customHeight="1">
      <c r="D642" s="605"/>
      <c r="F642" s="605"/>
      <c r="H642" s="605"/>
    </row>
    <row r="643" spans="4:8" ht="13.5" customHeight="1">
      <c r="D643" s="605"/>
      <c r="F643" s="605"/>
      <c r="H643" s="605"/>
    </row>
    <row r="644" spans="4:8" ht="13.5" customHeight="1">
      <c r="D644" s="605"/>
      <c r="F644" s="605"/>
      <c r="H644" s="605"/>
    </row>
    <row r="645" spans="4:8" ht="13.5" customHeight="1">
      <c r="D645" s="605"/>
      <c r="F645" s="605"/>
      <c r="H645" s="605"/>
    </row>
    <row r="646" spans="4:8" ht="13.5" customHeight="1">
      <c r="D646" s="605"/>
      <c r="F646" s="605"/>
      <c r="H646" s="605"/>
    </row>
    <row r="647" spans="4:8" ht="13.5" customHeight="1">
      <c r="D647" s="605"/>
      <c r="F647" s="605"/>
      <c r="H647" s="605"/>
    </row>
    <row r="648" spans="4:8" ht="13.5" customHeight="1">
      <c r="D648" s="605"/>
      <c r="F648" s="605"/>
      <c r="H648" s="605"/>
    </row>
    <row r="649" spans="4:8" ht="13.5" customHeight="1">
      <c r="D649" s="605"/>
      <c r="F649" s="605"/>
      <c r="H649" s="605"/>
    </row>
    <row r="650" spans="4:8" ht="13.5" customHeight="1">
      <c r="D650" s="605"/>
      <c r="F650" s="605"/>
      <c r="H650" s="605"/>
    </row>
    <row r="651" spans="4:8" ht="13.5" customHeight="1">
      <c r="D651" s="605"/>
      <c r="F651" s="605"/>
      <c r="H651" s="605"/>
    </row>
    <row r="652" spans="4:8" ht="13.5" customHeight="1">
      <c r="D652" s="605"/>
      <c r="F652" s="605"/>
      <c r="H652" s="605"/>
    </row>
    <row r="653" spans="4:8" ht="13.5" customHeight="1">
      <c r="D653" s="605"/>
      <c r="F653" s="605"/>
      <c r="H653" s="605"/>
    </row>
    <row r="654" spans="4:8" ht="13.5" customHeight="1">
      <c r="D654" s="605"/>
      <c r="F654" s="605"/>
      <c r="H654" s="605"/>
    </row>
    <row r="655" spans="4:8" ht="13.5" customHeight="1">
      <c r="D655" s="605"/>
      <c r="F655" s="605"/>
      <c r="H655" s="605"/>
    </row>
    <row r="656" spans="4:8" ht="13.5" customHeight="1">
      <c r="D656" s="605"/>
      <c r="F656" s="605"/>
      <c r="H656" s="605"/>
    </row>
    <row r="657" spans="4:8" ht="13.5" customHeight="1">
      <c r="D657" s="605"/>
      <c r="F657" s="605"/>
      <c r="H657" s="605"/>
    </row>
    <row r="658" spans="4:8" ht="13.5" customHeight="1">
      <c r="D658" s="605"/>
      <c r="F658" s="605"/>
      <c r="H658" s="605"/>
    </row>
    <row r="659" spans="4:8" ht="13.5" customHeight="1">
      <c r="D659" s="605"/>
      <c r="F659" s="605"/>
      <c r="H659" s="605"/>
    </row>
    <row r="660" spans="4:8" ht="13.5" customHeight="1">
      <c r="D660" s="605"/>
      <c r="F660" s="605"/>
      <c r="H660" s="605"/>
    </row>
    <row r="661" spans="4:8" ht="13.5" customHeight="1">
      <c r="D661" s="605"/>
      <c r="F661" s="605"/>
      <c r="H661" s="605"/>
    </row>
    <row r="662" spans="4:8" ht="13.5" customHeight="1">
      <c r="D662" s="605"/>
      <c r="F662" s="605"/>
      <c r="H662" s="605"/>
    </row>
    <row r="663" spans="4:8" ht="13.5" customHeight="1">
      <c r="D663" s="605"/>
      <c r="F663" s="605"/>
      <c r="H663" s="605"/>
    </row>
    <row r="664" spans="4:8" ht="13.5" customHeight="1">
      <c r="D664" s="605"/>
      <c r="F664" s="605"/>
      <c r="H664" s="605"/>
    </row>
    <row r="665" spans="4:8" ht="13.5" customHeight="1">
      <c r="D665" s="605"/>
      <c r="F665" s="605"/>
      <c r="H665" s="605"/>
    </row>
    <row r="666" spans="4:8" ht="13.5" customHeight="1">
      <c r="D666" s="605"/>
      <c r="F666" s="605"/>
      <c r="H666" s="605"/>
    </row>
    <row r="667" spans="4:8" ht="13.5" customHeight="1">
      <c r="D667" s="605"/>
      <c r="F667" s="605"/>
      <c r="H667" s="605"/>
    </row>
    <row r="668" spans="4:8" ht="13.5" customHeight="1">
      <c r="D668" s="605"/>
      <c r="F668" s="605"/>
      <c r="H668" s="605"/>
    </row>
    <row r="669" spans="4:8" ht="13.5" customHeight="1">
      <c r="D669" s="605"/>
      <c r="F669" s="605"/>
      <c r="H669" s="605"/>
    </row>
    <row r="670" spans="4:8" ht="13.5" customHeight="1">
      <c r="D670" s="605"/>
      <c r="F670" s="605"/>
      <c r="H670" s="605"/>
    </row>
    <row r="671" spans="4:8" ht="13.5" customHeight="1">
      <c r="D671" s="605"/>
      <c r="F671" s="605"/>
      <c r="H671" s="605"/>
    </row>
    <row r="672" spans="4:8" ht="13.5" customHeight="1">
      <c r="D672" s="605"/>
      <c r="F672" s="605"/>
      <c r="H672" s="605"/>
    </row>
    <row r="673" spans="4:8" ht="13.5" customHeight="1">
      <c r="D673" s="605"/>
      <c r="F673" s="605"/>
      <c r="H673" s="605"/>
    </row>
    <row r="674" spans="4:8" ht="13.5" customHeight="1">
      <c r="D674" s="605"/>
      <c r="F674" s="605"/>
      <c r="H674" s="605"/>
    </row>
    <row r="675" spans="4:8" ht="13.5" customHeight="1">
      <c r="D675" s="605"/>
      <c r="F675" s="605"/>
      <c r="H675" s="605"/>
    </row>
    <row r="676" spans="4:8" ht="13.5" customHeight="1">
      <c r="D676" s="605"/>
      <c r="F676" s="605"/>
      <c r="H676" s="605"/>
    </row>
    <row r="677" spans="4:8" ht="13.5" customHeight="1">
      <c r="D677" s="605"/>
      <c r="F677" s="605"/>
      <c r="H677" s="605"/>
    </row>
    <row r="678" spans="4:8" ht="13.5" customHeight="1">
      <c r="D678" s="605"/>
      <c r="F678" s="605"/>
      <c r="H678" s="605"/>
    </row>
    <row r="679" spans="4:8" ht="13.5" customHeight="1">
      <c r="D679" s="605"/>
      <c r="F679" s="605"/>
      <c r="H679" s="605"/>
    </row>
    <row r="680" spans="4:8" ht="13.5" customHeight="1">
      <c r="D680" s="605"/>
      <c r="F680" s="605"/>
      <c r="H680" s="605"/>
    </row>
    <row r="681" spans="4:8" ht="13.5" customHeight="1">
      <c r="D681" s="605"/>
      <c r="F681" s="605"/>
      <c r="H681" s="605"/>
    </row>
    <row r="682" spans="4:8" ht="13.5" customHeight="1">
      <c r="D682" s="605"/>
      <c r="F682" s="605"/>
      <c r="H682" s="605"/>
    </row>
    <row r="683" spans="4:8" ht="13.5" customHeight="1">
      <c r="D683" s="605"/>
      <c r="F683" s="605"/>
      <c r="H683" s="605"/>
    </row>
    <row r="684" spans="4:8" ht="13.5" customHeight="1">
      <c r="D684" s="605"/>
      <c r="F684" s="605"/>
      <c r="H684" s="605"/>
    </row>
    <row r="685" spans="4:8" ht="13.5" customHeight="1">
      <c r="D685" s="605"/>
      <c r="F685" s="605"/>
      <c r="H685" s="605"/>
    </row>
    <row r="686" spans="4:8" ht="13.5" customHeight="1">
      <c r="D686" s="605"/>
      <c r="F686" s="605"/>
      <c r="H686" s="605"/>
    </row>
    <row r="687" spans="4:8" ht="13.5" customHeight="1">
      <c r="D687" s="605"/>
      <c r="F687" s="605"/>
      <c r="H687" s="605"/>
    </row>
    <row r="688" spans="4:8" ht="13.5" customHeight="1">
      <c r="D688" s="605"/>
      <c r="F688" s="605"/>
      <c r="H688" s="605"/>
    </row>
    <row r="689" spans="4:8" ht="13.5" customHeight="1">
      <c r="D689" s="605"/>
      <c r="F689" s="605"/>
      <c r="H689" s="605"/>
    </row>
    <row r="690" spans="4:8" ht="13.5" customHeight="1">
      <c r="D690" s="605"/>
      <c r="F690" s="605"/>
      <c r="H690" s="605"/>
    </row>
    <row r="691" spans="4:8" ht="13.5" customHeight="1">
      <c r="D691" s="605"/>
      <c r="F691" s="605"/>
      <c r="H691" s="605"/>
    </row>
    <row r="692" spans="4:8" ht="13.5" customHeight="1">
      <c r="D692" s="605"/>
      <c r="F692" s="605"/>
      <c r="H692" s="605"/>
    </row>
    <row r="693" spans="4:8" ht="13.5" customHeight="1">
      <c r="D693" s="605"/>
      <c r="F693" s="605"/>
      <c r="H693" s="605"/>
    </row>
    <row r="694" spans="4:8" ht="13.5" customHeight="1">
      <c r="D694" s="605"/>
      <c r="F694" s="605"/>
      <c r="H694" s="605"/>
    </row>
    <row r="695" spans="4:8" ht="13.5" customHeight="1">
      <c r="D695" s="605"/>
      <c r="F695" s="605"/>
      <c r="H695" s="605"/>
    </row>
    <row r="696" spans="4:8" ht="13.5" customHeight="1">
      <c r="D696" s="605"/>
      <c r="F696" s="605"/>
      <c r="H696" s="605"/>
    </row>
    <row r="697" spans="4:8" ht="13.5" customHeight="1">
      <c r="D697" s="605"/>
      <c r="F697" s="605"/>
      <c r="H697" s="605"/>
    </row>
    <row r="698" spans="4:8" ht="13.5" customHeight="1">
      <c r="D698" s="605"/>
      <c r="F698" s="605"/>
      <c r="H698" s="605"/>
    </row>
    <row r="699" spans="4:8" ht="13.5" customHeight="1">
      <c r="D699" s="605"/>
      <c r="F699" s="605"/>
      <c r="H699" s="605"/>
    </row>
    <row r="700" spans="4:8" ht="13.5" customHeight="1">
      <c r="D700" s="605"/>
      <c r="F700" s="605"/>
      <c r="H700" s="605"/>
    </row>
    <row r="701" spans="4:8" ht="13.5" customHeight="1">
      <c r="D701" s="605"/>
      <c r="F701" s="605"/>
      <c r="H701" s="605"/>
    </row>
    <row r="702" spans="4:8" ht="13.5" customHeight="1">
      <c r="D702" s="605"/>
      <c r="F702" s="605"/>
      <c r="H702" s="605"/>
    </row>
    <row r="703" spans="4:8" ht="13.5" customHeight="1">
      <c r="D703" s="605"/>
      <c r="F703" s="605"/>
      <c r="H703" s="605"/>
    </row>
    <row r="704" spans="4:8" ht="13.5" customHeight="1">
      <c r="D704" s="605"/>
      <c r="F704" s="605"/>
      <c r="H704" s="605"/>
    </row>
    <row r="705" spans="4:8" ht="13.5" customHeight="1">
      <c r="D705" s="605"/>
      <c r="F705" s="605"/>
      <c r="H705" s="605"/>
    </row>
    <row r="706" spans="4:8" ht="13.5" customHeight="1">
      <c r="D706" s="605"/>
      <c r="F706" s="605"/>
      <c r="H706" s="605"/>
    </row>
    <row r="707" spans="4:8" ht="13.5" customHeight="1">
      <c r="D707" s="605"/>
      <c r="F707" s="605"/>
      <c r="H707" s="605"/>
    </row>
    <row r="708" spans="4:8" ht="13.5" customHeight="1">
      <c r="D708" s="605"/>
      <c r="F708" s="605"/>
      <c r="H708" s="605"/>
    </row>
    <row r="709" spans="4:8" ht="13.5" customHeight="1">
      <c r="D709" s="605"/>
      <c r="F709" s="605"/>
      <c r="H709" s="605"/>
    </row>
    <row r="710" spans="4:8" ht="13.5" customHeight="1">
      <c r="D710" s="605"/>
      <c r="F710" s="605"/>
      <c r="H710" s="605"/>
    </row>
    <row r="711" spans="4:8" ht="13.5" customHeight="1">
      <c r="D711" s="605"/>
      <c r="F711" s="605"/>
      <c r="H711" s="605"/>
    </row>
    <row r="712" spans="4:8" ht="13.5" customHeight="1">
      <c r="D712" s="605"/>
      <c r="F712" s="605"/>
      <c r="H712" s="605"/>
    </row>
    <row r="713" spans="4:8" ht="13.5" customHeight="1">
      <c r="D713" s="605"/>
      <c r="F713" s="605"/>
      <c r="H713" s="605"/>
    </row>
    <row r="714" spans="4:8" ht="13.5" customHeight="1">
      <c r="D714" s="605"/>
      <c r="F714" s="605"/>
      <c r="H714" s="605"/>
    </row>
    <row r="715" spans="4:8" ht="13.5" customHeight="1">
      <c r="D715" s="605"/>
      <c r="F715" s="605"/>
      <c r="H715" s="605"/>
    </row>
    <row r="716" spans="4:8" ht="13.5" customHeight="1">
      <c r="D716" s="605"/>
      <c r="F716" s="605"/>
      <c r="H716" s="605"/>
    </row>
    <row r="717" spans="4:8" ht="13.5" customHeight="1">
      <c r="D717" s="605"/>
      <c r="F717" s="605"/>
      <c r="H717" s="605"/>
    </row>
    <row r="718" spans="4:8" ht="13.5" customHeight="1">
      <c r="D718" s="605"/>
      <c r="F718" s="605"/>
      <c r="H718" s="605"/>
    </row>
    <row r="719" spans="4:8" ht="13.5" customHeight="1">
      <c r="D719" s="605"/>
      <c r="F719" s="605"/>
      <c r="H719" s="605"/>
    </row>
    <row r="720" spans="4:8" ht="13.5" customHeight="1">
      <c r="D720" s="605"/>
      <c r="F720" s="605"/>
      <c r="H720" s="605"/>
    </row>
    <row r="721" spans="4:8" ht="13.5" customHeight="1">
      <c r="D721" s="605"/>
      <c r="F721" s="605"/>
      <c r="H721" s="605"/>
    </row>
    <row r="722" spans="4:8" ht="13.5" customHeight="1">
      <c r="D722" s="605"/>
      <c r="F722" s="605"/>
      <c r="H722" s="605"/>
    </row>
    <row r="723" spans="4:8" ht="13.5" customHeight="1">
      <c r="D723" s="605"/>
      <c r="F723" s="605"/>
      <c r="H723" s="605"/>
    </row>
    <row r="724" spans="4:8" ht="13.5" customHeight="1">
      <c r="D724" s="605"/>
      <c r="F724" s="605"/>
      <c r="H724" s="605"/>
    </row>
    <row r="725" spans="4:8" ht="13.5" customHeight="1">
      <c r="D725" s="605"/>
      <c r="F725" s="605"/>
      <c r="H725" s="605"/>
    </row>
    <row r="726" spans="4:8" ht="13.5" customHeight="1">
      <c r="D726" s="605"/>
      <c r="F726" s="605"/>
      <c r="H726" s="605"/>
    </row>
    <row r="727" spans="4:8" ht="13.5" customHeight="1">
      <c r="D727" s="605"/>
      <c r="F727" s="605"/>
      <c r="H727" s="605"/>
    </row>
    <row r="728" spans="4:8" ht="13.5" customHeight="1">
      <c r="D728" s="605"/>
      <c r="F728" s="605"/>
      <c r="H728" s="605"/>
    </row>
    <row r="729" spans="4:8" ht="13.5" customHeight="1">
      <c r="D729" s="605"/>
      <c r="F729" s="605"/>
      <c r="H729" s="605"/>
    </row>
    <row r="730" spans="4:8" ht="13.5" customHeight="1">
      <c r="D730" s="605"/>
      <c r="F730" s="605"/>
      <c r="H730" s="605"/>
    </row>
    <row r="731" spans="4:8" ht="13.5" customHeight="1">
      <c r="D731" s="605"/>
      <c r="F731" s="605"/>
      <c r="H731" s="605"/>
    </row>
    <row r="732" spans="4:8" ht="13.5" customHeight="1">
      <c r="D732" s="605"/>
      <c r="F732" s="605"/>
      <c r="H732" s="605"/>
    </row>
    <row r="733" spans="4:8" ht="13.5" customHeight="1">
      <c r="D733" s="605"/>
      <c r="F733" s="605"/>
      <c r="H733" s="605"/>
    </row>
    <row r="734" spans="4:8" ht="13.5" customHeight="1">
      <c r="D734" s="605"/>
      <c r="F734" s="605"/>
      <c r="H734" s="605"/>
    </row>
    <row r="735" spans="4:8" ht="13.5" customHeight="1">
      <c r="D735" s="605"/>
      <c r="F735" s="605"/>
      <c r="H735" s="605"/>
    </row>
    <row r="736" spans="4:8" ht="13.5" customHeight="1">
      <c r="D736" s="605"/>
      <c r="F736" s="605"/>
      <c r="H736" s="605"/>
    </row>
    <row r="737" spans="4:8" ht="13.5" customHeight="1">
      <c r="D737" s="605"/>
      <c r="F737" s="605"/>
      <c r="H737" s="605"/>
    </row>
    <row r="738" spans="4:8" ht="13.5" customHeight="1">
      <c r="D738" s="605"/>
      <c r="F738" s="605"/>
      <c r="H738" s="605"/>
    </row>
    <row r="739" spans="4:8" ht="13.5" customHeight="1">
      <c r="D739" s="605"/>
      <c r="F739" s="605"/>
      <c r="H739" s="605"/>
    </row>
    <row r="740" spans="4:8" ht="13.5" customHeight="1">
      <c r="D740" s="605"/>
      <c r="F740" s="605"/>
      <c r="H740" s="605"/>
    </row>
    <row r="741" spans="4:8" ht="13.5" customHeight="1">
      <c r="D741" s="605"/>
      <c r="F741" s="605"/>
      <c r="H741" s="605"/>
    </row>
    <row r="742" spans="4:8" ht="13.5" customHeight="1">
      <c r="D742" s="605"/>
      <c r="F742" s="605"/>
      <c r="H742" s="605"/>
    </row>
    <row r="743" spans="4:8" ht="13.5" customHeight="1">
      <c r="D743" s="605"/>
      <c r="F743" s="605"/>
      <c r="H743" s="605"/>
    </row>
    <row r="744" spans="4:8" ht="13.5" customHeight="1">
      <c r="D744" s="605"/>
      <c r="F744" s="605"/>
      <c r="H744" s="605"/>
    </row>
    <row r="745" spans="4:8" ht="13.5" customHeight="1">
      <c r="D745" s="605"/>
      <c r="F745" s="605"/>
      <c r="H745" s="605"/>
    </row>
    <row r="746" spans="4:8" ht="13.5" customHeight="1">
      <c r="D746" s="605"/>
      <c r="F746" s="605"/>
      <c r="H746" s="605"/>
    </row>
    <row r="747" spans="4:8" ht="13.5" customHeight="1">
      <c r="D747" s="605"/>
      <c r="F747" s="605"/>
      <c r="H747" s="605"/>
    </row>
    <row r="748" spans="4:8" ht="13.5" customHeight="1">
      <c r="D748" s="605"/>
      <c r="F748" s="605"/>
      <c r="H748" s="605"/>
    </row>
    <row r="749" spans="4:8" ht="13.5" customHeight="1">
      <c r="D749" s="605"/>
      <c r="F749" s="605"/>
      <c r="H749" s="605"/>
    </row>
    <row r="750" spans="4:8" ht="13.5" customHeight="1">
      <c r="D750" s="605"/>
      <c r="F750" s="605"/>
      <c r="H750" s="605"/>
    </row>
    <row r="751" spans="4:8" ht="13.5" customHeight="1">
      <c r="D751" s="605"/>
      <c r="F751" s="605"/>
      <c r="H751" s="605"/>
    </row>
    <row r="752" spans="4:8" ht="13.5" customHeight="1">
      <c r="D752" s="605"/>
      <c r="F752" s="605"/>
      <c r="H752" s="605"/>
    </row>
    <row r="753" spans="4:8" ht="13.5" customHeight="1">
      <c r="D753" s="605"/>
      <c r="F753" s="605"/>
      <c r="H753" s="605"/>
    </row>
    <row r="754" spans="4:8" ht="13.5" customHeight="1">
      <c r="D754" s="605"/>
      <c r="F754" s="605"/>
      <c r="H754" s="605"/>
    </row>
    <row r="755" spans="4:8" ht="13.5" customHeight="1">
      <c r="D755" s="605"/>
      <c r="F755" s="605"/>
      <c r="H755" s="605"/>
    </row>
    <row r="756" spans="4:8" ht="13.5" customHeight="1">
      <c r="D756" s="605"/>
      <c r="F756" s="605"/>
      <c r="H756" s="605"/>
    </row>
    <row r="757" spans="4:8" ht="13.5" customHeight="1">
      <c r="D757" s="605"/>
      <c r="F757" s="605"/>
      <c r="H757" s="605"/>
    </row>
    <row r="758" spans="4:8" ht="13.5" customHeight="1">
      <c r="D758" s="605"/>
      <c r="F758" s="605"/>
      <c r="H758" s="605"/>
    </row>
    <row r="759" spans="4:8" ht="13.5" customHeight="1">
      <c r="D759" s="605"/>
      <c r="F759" s="605"/>
      <c r="H759" s="605"/>
    </row>
    <row r="760" spans="4:8" ht="13.5" customHeight="1">
      <c r="D760" s="605"/>
      <c r="F760" s="605"/>
      <c r="H760" s="605"/>
    </row>
    <row r="761" spans="4:8" ht="13.5" customHeight="1">
      <c r="D761" s="605"/>
      <c r="F761" s="605"/>
      <c r="H761" s="605"/>
    </row>
    <row r="762" spans="4:8" ht="13.5" customHeight="1">
      <c r="D762" s="605"/>
      <c r="F762" s="605"/>
      <c r="H762" s="605"/>
    </row>
    <row r="763" spans="4:8" ht="13.5" customHeight="1">
      <c r="D763" s="605"/>
      <c r="F763" s="605"/>
      <c r="H763" s="605"/>
    </row>
    <row r="764" spans="4:8" ht="13.5" customHeight="1">
      <c r="D764" s="605"/>
      <c r="F764" s="605"/>
      <c r="H764" s="605"/>
    </row>
    <row r="765" spans="4:8" ht="13.5" customHeight="1">
      <c r="D765" s="605"/>
      <c r="F765" s="605"/>
      <c r="H765" s="605"/>
    </row>
    <row r="766" spans="4:8" ht="13.5" customHeight="1">
      <c r="D766" s="605"/>
      <c r="F766" s="605"/>
      <c r="H766" s="605"/>
    </row>
    <row r="767" spans="4:8" ht="13.5" customHeight="1">
      <c r="D767" s="605"/>
      <c r="F767" s="605"/>
      <c r="H767" s="605"/>
    </row>
    <row r="768" spans="4:8" ht="13.5" customHeight="1">
      <c r="D768" s="605"/>
      <c r="F768" s="605"/>
      <c r="H768" s="605"/>
    </row>
    <row r="769" spans="4:8" ht="13.5" customHeight="1">
      <c r="D769" s="605"/>
      <c r="F769" s="605"/>
      <c r="H769" s="605"/>
    </row>
    <row r="770" spans="4:8" ht="13.5" customHeight="1">
      <c r="D770" s="605"/>
      <c r="F770" s="605"/>
      <c r="H770" s="605"/>
    </row>
    <row r="771" spans="4:8" ht="13.5" customHeight="1">
      <c r="D771" s="605"/>
      <c r="F771" s="605"/>
      <c r="H771" s="605"/>
    </row>
    <row r="772" spans="4:8" ht="13.5" customHeight="1">
      <c r="D772" s="605"/>
      <c r="F772" s="605"/>
      <c r="H772" s="605"/>
    </row>
    <row r="773" spans="4:8" ht="13.5" customHeight="1">
      <c r="D773" s="605"/>
      <c r="F773" s="605"/>
      <c r="H773" s="605"/>
    </row>
    <row r="774" spans="4:8" ht="13.5" customHeight="1">
      <c r="D774" s="605"/>
      <c r="F774" s="605"/>
      <c r="H774" s="605"/>
    </row>
    <row r="775" spans="4:8" ht="13.5" customHeight="1">
      <c r="D775" s="605"/>
      <c r="F775" s="605"/>
      <c r="H775" s="605"/>
    </row>
    <row r="776" spans="4:8" ht="13.5" customHeight="1">
      <c r="D776" s="605"/>
      <c r="F776" s="605"/>
      <c r="H776" s="605"/>
    </row>
    <row r="777" spans="4:8" ht="13.5" customHeight="1">
      <c r="D777" s="605"/>
      <c r="F777" s="605"/>
      <c r="H777" s="605"/>
    </row>
    <row r="778" spans="4:8" ht="13.5" customHeight="1">
      <c r="D778" s="605"/>
      <c r="F778" s="605"/>
      <c r="H778" s="605"/>
    </row>
    <row r="779" spans="4:8" ht="13.5" customHeight="1">
      <c r="D779" s="605"/>
      <c r="F779" s="605"/>
      <c r="H779" s="605"/>
    </row>
    <row r="780" spans="4:8" ht="13.5" customHeight="1">
      <c r="D780" s="605"/>
      <c r="F780" s="605"/>
      <c r="H780" s="605"/>
    </row>
    <row r="781" spans="4:8" ht="13.5" customHeight="1">
      <c r="D781" s="605"/>
      <c r="F781" s="605"/>
      <c r="H781" s="605"/>
    </row>
    <row r="782" spans="4:8" ht="13.5" customHeight="1">
      <c r="D782" s="605"/>
      <c r="F782" s="605"/>
      <c r="H782" s="605"/>
    </row>
    <row r="783" spans="4:8" ht="13.5" customHeight="1">
      <c r="D783" s="605"/>
      <c r="F783" s="605"/>
      <c r="H783" s="605"/>
    </row>
    <row r="784" spans="4:8" ht="13.5" customHeight="1">
      <c r="D784" s="605"/>
      <c r="F784" s="605"/>
      <c r="H784" s="605"/>
    </row>
    <row r="785" spans="4:8" ht="13.5" customHeight="1">
      <c r="D785" s="605"/>
      <c r="F785" s="605"/>
      <c r="H785" s="605"/>
    </row>
    <row r="786" spans="4:8" ht="13.5" customHeight="1">
      <c r="D786" s="605"/>
      <c r="F786" s="605"/>
      <c r="H786" s="605"/>
    </row>
    <row r="787" spans="4:8" ht="13.5" customHeight="1">
      <c r="D787" s="605"/>
      <c r="F787" s="605"/>
      <c r="H787" s="605"/>
    </row>
    <row r="788" spans="4:8" ht="13.5" customHeight="1">
      <c r="D788" s="605"/>
      <c r="F788" s="605"/>
      <c r="H788" s="605"/>
    </row>
    <row r="789" spans="4:8" ht="13.5" customHeight="1">
      <c r="D789" s="605"/>
      <c r="F789" s="605"/>
      <c r="H789" s="605"/>
    </row>
    <row r="790" spans="4:8" ht="13.5" customHeight="1">
      <c r="D790" s="605"/>
      <c r="F790" s="605"/>
      <c r="H790" s="605"/>
    </row>
    <row r="791" spans="4:8" ht="13.5" customHeight="1">
      <c r="D791" s="605"/>
      <c r="F791" s="605"/>
      <c r="H791" s="605"/>
    </row>
    <row r="792" spans="4:8" ht="13.5" customHeight="1">
      <c r="D792" s="605"/>
      <c r="F792" s="605"/>
      <c r="H792" s="605"/>
    </row>
    <row r="793" spans="4:8" ht="13.5" customHeight="1">
      <c r="D793" s="605"/>
      <c r="F793" s="605"/>
      <c r="H793" s="605"/>
    </row>
    <row r="794" spans="4:8" ht="13.5" customHeight="1">
      <c r="D794" s="605"/>
      <c r="F794" s="605"/>
      <c r="H794" s="605"/>
    </row>
    <row r="795" spans="4:8" ht="13.5" customHeight="1">
      <c r="D795" s="605"/>
      <c r="F795" s="605"/>
      <c r="H795" s="605"/>
    </row>
    <row r="796" spans="4:8" ht="13.5" customHeight="1">
      <c r="D796" s="605"/>
      <c r="F796" s="605"/>
      <c r="H796" s="605"/>
    </row>
    <row r="797" spans="4:8" ht="13.5" customHeight="1">
      <c r="D797" s="605"/>
      <c r="F797" s="605"/>
      <c r="H797" s="605"/>
    </row>
    <row r="798" spans="4:8" ht="13.5" customHeight="1">
      <c r="D798" s="605"/>
      <c r="F798" s="605"/>
      <c r="H798" s="605"/>
    </row>
    <row r="799" spans="4:8" ht="13.5" customHeight="1">
      <c r="D799" s="605"/>
      <c r="F799" s="605"/>
      <c r="H799" s="605"/>
    </row>
    <row r="800" spans="4:8" ht="13.5" customHeight="1">
      <c r="D800" s="605"/>
      <c r="F800" s="605"/>
      <c r="H800" s="605"/>
    </row>
    <row r="801" spans="4:8" ht="13.5" customHeight="1">
      <c r="D801" s="605"/>
      <c r="F801" s="605"/>
      <c r="H801" s="605"/>
    </row>
    <row r="802" spans="4:8" ht="13.5" customHeight="1">
      <c r="D802" s="605"/>
      <c r="F802" s="605"/>
      <c r="H802" s="605"/>
    </row>
    <row r="803" spans="4:8" ht="13.5" customHeight="1">
      <c r="D803" s="605"/>
      <c r="F803" s="605"/>
      <c r="H803" s="605"/>
    </row>
    <row r="804" spans="4:8" ht="13.5" customHeight="1">
      <c r="D804" s="605"/>
      <c r="F804" s="605"/>
      <c r="H804" s="605"/>
    </row>
    <row r="805" spans="4:8" ht="13.5" customHeight="1">
      <c r="D805" s="605"/>
      <c r="F805" s="605"/>
      <c r="H805" s="605"/>
    </row>
    <row r="806" spans="4:8" ht="13.5" customHeight="1">
      <c r="D806" s="605"/>
      <c r="F806" s="605"/>
      <c r="H806" s="605"/>
    </row>
    <row r="807" spans="4:8" ht="13.5" customHeight="1">
      <c r="D807" s="605"/>
      <c r="F807" s="605"/>
      <c r="H807" s="605"/>
    </row>
    <row r="808" spans="4:8" ht="13.5" customHeight="1">
      <c r="D808" s="605"/>
      <c r="F808" s="605"/>
      <c r="H808" s="605"/>
    </row>
    <row r="809" spans="4:8" ht="13.5" customHeight="1">
      <c r="D809" s="605"/>
      <c r="F809" s="605"/>
      <c r="H809" s="605"/>
    </row>
    <row r="810" spans="4:8" ht="13.5" customHeight="1">
      <c r="D810" s="605"/>
      <c r="F810" s="605"/>
      <c r="H810" s="605"/>
    </row>
    <row r="811" spans="4:8" ht="13.5" customHeight="1">
      <c r="D811" s="605"/>
      <c r="F811" s="605"/>
      <c r="H811" s="605"/>
    </row>
    <row r="812" spans="4:8" ht="13.5" customHeight="1">
      <c r="D812" s="605"/>
      <c r="F812" s="605"/>
      <c r="H812" s="605"/>
    </row>
    <row r="813" spans="4:8" ht="13.5" customHeight="1">
      <c r="D813" s="605"/>
      <c r="F813" s="605"/>
      <c r="H813" s="605"/>
    </row>
    <row r="814" spans="4:8" ht="13.5" customHeight="1">
      <c r="D814" s="605"/>
      <c r="F814" s="605"/>
      <c r="H814" s="605"/>
    </row>
    <row r="815" spans="4:8" ht="13.5" customHeight="1">
      <c r="D815" s="605"/>
      <c r="F815" s="605"/>
      <c r="H815" s="605"/>
    </row>
    <row r="816" spans="4:8" ht="13.5" customHeight="1">
      <c r="D816" s="605"/>
      <c r="F816" s="605"/>
      <c r="H816" s="605"/>
    </row>
    <row r="817" spans="4:8" ht="13.5" customHeight="1">
      <c r="D817" s="605"/>
      <c r="F817" s="605"/>
      <c r="H817" s="605"/>
    </row>
    <row r="818" spans="4:8" ht="13.5" customHeight="1">
      <c r="D818" s="605"/>
      <c r="F818" s="605"/>
      <c r="H818" s="605"/>
    </row>
    <row r="819" spans="4:8" ht="13.5" customHeight="1">
      <c r="D819" s="605"/>
      <c r="F819" s="605"/>
      <c r="H819" s="605"/>
    </row>
    <row r="820" spans="4:8" ht="13.5" customHeight="1">
      <c r="D820" s="605"/>
      <c r="F820" s="605"/>
      <c r="H820" s="605"/>
    </row>
    <row r="821" spans="4:8" ht="13.5" customHeight="1">
      <c r="D821" s="605"/>
      <c r="F821" s="605"/>
      <c r="H821" s="605"/>
    </row>
    <row r="822" spans="4:8" ht="13.5" customHeight="1">
      <c r="D822" s="605"/>
      <c r="F822" s="605"/>
      <c r="H822" s="605"/>
    </row>
    <row r="823" spans="4:8" ht="13.5" customHeight="1">
      <c r="D823" s="605"/>
      <c r="F823" s="605"/>
      <c r="H823" s="605"/>
    </row>
    <row r="824" spans="4:8" ht="13.5" customHeight="1">
      <c r="D824" s="605"/>
      <c r="F824" s="605"/>
      <c r="H824" s="605"/>
    </row>
    <row r="825" spans="4:8" ht="13.5" customHeight="1">
      <c r="D825" s="605"/>
      <c r="F825" s="605"/>
      <c r="H825" s="605"/>
    </row>
    <row r="826" spans="4:8" ht="13.5" customHeight="1">
      <c r="D826" s="605"/>
      <c r="F826" s="605"/>
      <c r="H826" s="605"/>
    </row>
    <row r="827" spans="4:8" ht="13.5" customHeight="1">
      <c r="D827" s="605"/>
      <c r="F827" s="605"/>
      <c r="H827" s="605"/>
    </row>
    <row r="828" spans="4:8" ht="13.5" customHeight="1">
      <c r="D828" s="605"/>
      <c r="F828" s="605"/>
      <c r="H828" s="605"/>
    </row>
    <row r="829" spans="4:8" ht="13.5" customHeight="1">
      <c r="D829" s="605"/>
      <c r="F829" s="605"/>
      <c r="H829" s="605"/>
    </row>
    <row r="830" spans="4:8" ht="13.5" customHeight="1">
      <c r="D830" s="605"/>
      <c r="F830" s="605"/>
      <c r="H830" s="605"/>
    </row>
    <row r="831" spans="4:8" ht="13.5" customHeight="1">
      <c r="D831" s="605"/>
      <c r="F831" s="605"/>
      <c r="H831" s="605"/>
    </row>
    <row r="832" spans="4:8" ht="13.5" customHeight="1">
      <c r="D832" s="605"/>
      <c r="F832" s="605"/>
      <c r="H832" s="605"/>
    </row>
    <row r="833" spans="4:8" ht="13.5" customHeight="1">
      <c r="D833" s="605"/>
      <c r="F833" s="605"/>
      <c r="H833" s="605"/>
    </row>
    <row r="834" spans="4:8" ht="13.5" customHeight="1">
      <c r="D834" s="605"/>
      <c r="F834" s="605"/>
      <c r="H834" s="605"/>
    </row>
    <row r="835" spans="4:8" ht="13.5" customHeight="1">
      <c r="D835" s="605"/>
      <c r="F835" s="605"/>
      <c r="H835" s="605"/>
    </row>
    <row r="836" spans="4:8" ht="13.5" customHeight="1">
      <c r="D836" s="605"/>
      <c r="F836" s="605"/>
      <c r="H836" s="605"/>
    </row>
    <row r="837" spans="4:8" ht="13.5" customHeight="1">
      <c r="D837" s="605"/>
      <c r="F837" s="605"/>
      <c r="H837" s="605"/>
    </row>
    <row r="838" spans="4:8" ht="13.5" customHeight="1">
      <c r="D838" s="605"/>
      <c r="F838" s="605"/>
      <c r="H838" s="605"/>
    </row>
    <row r="839" spans="4:8" ht="13.5" customHeight="1">
      <c r="D839" s="605"/>
      <c r="F839" s="605"/>
      <c r="H839" s="605"/>
    </row>
    <row r="840" spans="4:8" ht="13.5" customHeight="1">
      <c r="D840" s="605"/>
      <c r="F840" s="605"/>
      <c r="H840" s="605"/>
    </row>
    <row r="841" spans="4:8" ht="13.5" customHeight="1">
      <c r="D841" s="605"/>
      <c r="F841" s="605"/>
      <c r="H841" s="605"/>
    </row>
    <row r="842" spans="4:8" ht="13.5" customHeight="1">
      <c r="D842" s="605"/>
      <c r="F842" s="605"/>
      <c r="H842" s="605"/>
    </row>
    <row r="843" spans="4:8" ht="13.5" customHeight="1">
      <c r="D843" s="605"/>
      <c r="F843" s="605"/>
      <c r="H843" s="605"/>
    </row>
    <row r="844" spans="4:8" ht="13.5" customHeight="1">
      <c r="D844" s="605"/>
      <c r="F844" s="605"/>
      <c r="H844" s="605"/>
    </row>
    <row r="845" spans="4:8" ht="13.5" customHeight="1">
      <c r="D845" s="605"/>
      <c r="F845" s="605"/>
      <c r="H845" s="605"/>
    </row>
    <row r="846" spans="4:8" ht="13.5" customHeight="1">
      <c r="D846" s="605"/>
      <c r="F846" s="605"/>
      <c r="H846" s="605"/>
    </row>
    <row r="847" spans="4:8" ht="13.5" customHeight="1">
      <c r="D847" s="605"/>
      <c r="F847" s="605"/>
      <c r="H847" s="605"/>
    </row>
    <row r="848" spans="4:8" ht="13.5" customHeight="1">
      <c r="D848" s="605"/>
      <c r="F848" s="605"/>
      <c r="H848" s="605"/>
    </row>
    <row r="849" spans="4:8" ht="13.5" customHeight="1">
      <c r="D849" s="605"/>
      <c r="F849" s="605"/>
      <c r="H849" s="605"/>
    </row>
    <row r="850" spans="4:8" ht="13.5" customHeight="1">
      <c r="D850" s="605"/>
      <c r="F850" s="605"/>
      <c r="H850" s="605"/>
    </row>
    <row r="851" spans="4:8" ht="13.5" customHeight="1">
      <c r="D851" s="605"/>
      <c r="F851" s="605"/>
      <c r="H851" s="605"/>
    </row>
    <row r="852" spans="4:8" ht="13.5" customHeight="1">
      <c r="D852" s="605"/>
      <c r="F852" s="605"/>
      <c r="H852" s="605"/>
    </row>
    <row r="853" spans="4:8" ht="13.5" customHeight="1">
      <c r="D853" s="605"/>
      <c r="F853" s="605"/>
      <c r="H853" s="605"/>
    </row>
    <row r="854" spans="4:8" ht="13.5" customHeight="1">
      <c r="D854" s="605"/>
      <c r="F854" s="605"/>
      <c r="H854" s="605"/>
    </row>
    <row r="855" spans="4:8" ht="13.5" customHeight="1">
      <c r="D855" s="605"/>
      <c r="F855" s="605"/>
      <c r="H855" s="605"/>
    </row>
    <row r="856" spans="4:8" ht="13.5" customHeight="1">
      <c r="D856" s="605"/>
      <c r="F856" s="605"/>
      <c r="H856" s="605"/>
    </row>
    <row r="857" spans="4:8" ht="13.5" customHeight="1">
      <c r="D857" s="605"/>
      <c r="F857" s="605"/>
      <c r="H857" s="605"/>
    </row>
    <row r="858" spans="4:8" ht="13.5" customHeight="1">
      <c r="D858" s="605"/>
      <c r="F858" s="605"/>
      <c r="H858" s="605"/>
    </row>
    <row r="859" spans="4:8" ht="13.5" customHeight="1">
      <c r="D859" s="605"/>
      <c r="F859" s="605"/>
      <c r="H859" s="605"/>
    </row>
    <row r="860" spans="4:8" ht="13.5" customHeight="1">
      <c r="D860" s="605"/>
      <c r="F860" s="605"/>
      <c r="H860" s="605"/>
    </row>
    <row r="861" spans="4:8" ht="13.5" customHeight="1">
      <c r="D861" s="605"/>
      <c r="F861" s="605"/>
      <c r="H861" s="605"/>
    </row>
    <row r="862" spans="4:8" ht="13.5" customHeight="1">
      <c r="D862" s="605"/>
      <c r="F862" s="605"/>
      <c r="H862" s="605"/>
    </row>
    <row r="863" spans="4:8" ht="13.5" customHeight="1">
      <c r="D863" s="605"/>
      <c r="F863" s="605"/>
      <c r="H863" s="605"/>
    </row>
    <row r="864" spans="4:8" ht="13.5" customHeight="1">
      <c r="D864" s="605"/>
      <c r="F864" s="605"/>
      <c r="H864" s="605"/>
    </row>
    <row r="865" spans="4:8" ht="13.5" customHeight="1">
      <c r="D865" s="605"/>
      <c r="F865" s="605"/>
      <c r="H865" s="605"/>
    </row>
    <row r="866" spans="4:8" ht="13.5" customHeight="1">
      <c r="D866" s="605"/>
      <c r="F866" s="605"/>
      <c r="H866" s="605"/>
    </row>
    <row r="867" spans="4:8" ht="13.5" customHeight="1">
      <c r="D867" s="605"/>
      <c r="F867" s="605"/>
      <c r="H867" s="605"/>
    </row>
    <row r="868" spans="4:8" ht="13.5" customHeight="1">
      <c r="D868" s="605"/>
      <c r="F868" s="605"/>
      <c r="H868" s="605"/>
    </row>
    <row r="869" spans="4:8" ht="13.5" customHeight="1">
      <c r="D869" s="605"/>
      <c r="F869" s="605"/>
      <c r="H869" s="605"/>
    </row>
    <row r="870" spans="4:8" ht="13.5" customHeight="1">
      <c r="D870" s="605"/>
      <c r="F870" s="605"/>
      <c r="H870" s="605"/>
    </row>
    <row r="871" spans="4:8" ht="13.5" customHeight="1">
      <c r="D871" s="605"/>
      <c r="F871" s="605"/>
      <c r="H871" s="605"/>
    </row>
    <row r="872" spans="4:8" ht="13.5" customHeight="1">
      <c r="D872" s="605"/>
      <c r="F872" s="605"/>
      <c r="H872" s="605"/>
    </row>
    <row r="873" spans="4:8" ht="13.5" customHeight="1">
      <c r="D873" s="605"/>
      <c r="F873" s="605"/>
      <c r="H873" s="605"/>
    </row>
    <row r="874" spans="4:8" ht="13.5" customHeight="1">
      <c r="D874" s="605"/>
      <c r="F874" s="605"/>
      <c r="H874" s="605"/>
    </row>
    <row r="875" spans="4:8" ht="13.5" customHeight="1">
      <c r="D875" s="605"/>
      <c r="F875" s="605"/>
      <c r="H875" s="605"/>
    </row>
    <row r="876" spans="4:8" ht="13.5" customHeight="1">
      <c r="D876" s="605"/>
      <c r="F876" s="605"/>
      <c r="H876" s="605"/>
    </row>
    <row r="877" spans="4:8" ht="13.5" customHeight="1">
      <c r="D877" s="605"/>
      <c r="F877" s="605"/>
      <c r="H877" s="605"/>
    </row>
    <row r="878" spans="4:8" ht="13.5" customHeight="1">
      <c r="D878" s="605"/>
      <c r="F878" s="605"/>
      <c r="H878" s="605"/>
    </row>
    <row r="879" spans="4:8" ht="13.5" customHeight="1">
      <c r="D879" s="605"/>
      <c r="F879" s="605"/>
      <c r="H879" s="605"/>
    </row>
    <row r="880" spans="4:8" ht="13.5" customHeight="1">
      <c r="D880" s="605"/>
      <c r="F880" s="605"/>
      <c r="H880" s="605"/>
    </row>
    <row r="881" spans="4:8" ht="13.5" customHeight="1">
      <c r="D881" s="605"/>
      <c r="F881" s="605"/>
      <c r="H881" s="605"/>
    </row>
    <row r="882" spans="4:8" ht="13.5" customHeight="1">
      <c r="D882" s="605"/>
      <c r="F882" s="605"/>
      <c r="H882" s="605"/>
    </row>
    <row r="883" spans="4:8" ht="13.5" customHeight="1">
      <c r="D883" s="605"/>
      <c r="F883" s="605"/>
      <c r="H883" s="605"/>
    </row>
    <row r="884" spans="4:8" ht="13.5" customHeight="1">
      <c r="D884" s="605"/>
      <c r="F884" s="605"/>
      <c r="H884" s="605"/>
    </row>
    <row r="885" spans="4:8" ht="13.5" customHeight="1">
      <c r="D885" s="605"/>
      <c r="F885" s="605"/>
      <c r="H885" s="605"/>
    </row>
    <row r="886" spans="4:8" ht="13.5" customHeight="1">
      <c r="D886" s="605"/>
      <c r="F886" s="605"/>
      <c r="H886" s="605"/>
    </row>
    <row r="887" spans="4:8" ht="13.5" customHeight="1">
      <c r="D887" s="605"/>
      <c r="F887" s="605"/>
      <c r="H887" s="605"/>
    </row>
    <row r="888" spans="4:8" ht="13.5" customHeight="1">
      <c r="D888" s="605"/>
      <c r="F888" s="605"/>
      <c r="H888" s="605"/>
    </row>
    <row r="889" spans="4:8" ht="13.5" customHeight="1">
      <c r="D889" s="605"/>
      <c r="F889" s="605"/>
      <c r="H889" s="605"/>
    </row>
    <row r="890" spans="4:8" ht="13.5" customHeight="1">
      <c r="D890" s="605"/>
      <c r="F890" s="605"/>
      <c r="H890" s="605"/>
    </row>
    <row r="891" spans="4:8" ht="13.5" customHeight="1">
      <c r="D891" s="605"/>
      <c r="F891" s="605"/>
      <c r="H891" s="605"/>
    </row>
    <row r="892" spans="4:8" ht="13.5" customHeight="1">
      <c r="D892" s="605"/>
      <c r="F892" s="605"/>
      <c r="H892" s="605"/>
    </row>
    <row r="893" spans="4:8" ht="13.5" customHeight="1">
      <c r="D893" s="605"/>
      <c r="F893" s="605"/>
      <c r="H893" s="605"/>
    </row>
    <row r="894" spans="4:8" ht="13.5" customHeight="1">
      <c r="D894" s="605"/>
      <c r="F894" s="605"/>
      <c r="H894" s="605"/>
    </row>
    <row r="895" spans="4:8" ht="13.5" customHeight="1">
      <c r="D895" s="605"/>
      <c r="F895" s="605"/>
      <c r="H895" s="605"/>
    </row>
    <row r="896" spans="4:8" ht="13.5" customHeight="1">
      <c r="D896" s="605"/>
      <c r="F896" s="605"/>
      <c r="H896" s="605"/>
    </row>
    <row r="897" spans="4:8" ht="13.5" customHeight="1">
      <c r="D897" s="605"/>
      <c r="F897" s="605"/>
      <c r="H897" s="605"/>
    </row>
    <row r="898" spans="4:8" ht="13.5" customHeight="1">
      <c r="D898" s="605"/>
      <c r="F898" s="605"/>
      <c r="H898" s="605"/>
    </row>
    <row r="899" spans="4:8" ht="13.5" customHeight="1">
      <c r="D899" s="605"/>
      <c r="F899" s="605"/>
      <c r="H899" s="605"/>
    </row>
    <row r="900" spans="4:8" ht="13.5" customHeight="1">
      <c r="D900" s="605"/>
      <c r="F900" s="605"/>
      <c r="H900" s="605"/>
    </row>
    <row r="901" spans="4:8" ht="13.5" customHeight="1">
      <c r="D901" s="605"/>
      <c r="F901" s="605"/>
      <c r="H901" s="605"/>
    </row>
    <row r="902" spans="4:8" ht="13.5" customHeight="1">
      <c r="D902" s="605"/>
      <c r="F902" s="605"/>
      <c r="H902" s="605"/>
    </row>
    <row r="903" spans="4:8" ht="13.5" customHeight="1">
      <c r="D903" s="605"/>
      <c r="F903" s="605"/>
      <c r="H903" s="605"/>
    </row>
    <row r="904" spans="4:8" ht="13.5" customHeight="1">
      <c r="D904" s="605"/>
      <c r="F904" s="605"/>
      <c r="H904" s="605"/>
    </row>
    <row r="905" spans="4:8" ht="13.5" customHeight="1">
      <c r="D905" s="605"/>
      <c r="F905" s="605"/>
      <c r="H905" s="605"/>
    </row>
    <row r="906" spans="4:8" ht="13.5" customHeight="1">
      <c r="D906" s="605"/>
      <c r="F906" s="605"/>
      <c r="H906" s="605"/>
    </row>
    <row r="907" spans="4:8" ht="13.5" customHeight="1">
      <c r="D907" s="605"/>
      <c r="F907" s="605"/>
      <c r="H907" s="605"/>
    </row>
    <row r="908" spans="4:8" ht="13.5" customHeight="1">
      <c r="D908" s="605"/>
      <c r="F908" s="605"/>
      <c r="H908" s="605"/>
    </row>
    <row r="909" spans="4:8" ht="13.5" customHeight="1">
      <c r="D909" s="605"/>
      <c r="F909" s="605"/>
      <c r="H909" s="605"/>
    </row>
    <row r="910" spans="4:8" ht="13.5" customHeight="1">
      <c r="D910" s="605"/>
      <c r="F910" s="605"/>
      <c r="H910" s="605"/>
    </row>
    <row r="911" spans="4:8" ht="13.5" customHeight="1">
      <c r="D911" s="605"/>
      <c r="F911" s="605"/>
      <c r="H911" s="605"/>
    </row>
    <row r="912" spans="4:8" ht="13.5" customHeight="1">
      <c r="D912" s="605"/>
      <c r="F912" s="605"/>
      <c r="H912" s="605"/>
    </row>
    <row r="913" spans="4:8" ht="13.5" customHeight="1">
      <c r="D913" s="605"/>
      <c r="F913" s="605"/>
      <c r="H913" s="605"/>
    </row>
    <row r="914" spans="4:8" ht="13.5" customHeight="1">
      <c r="D914" s="605"/>
      <c r="F914" s="605"/>
      <c r="H914" s="605"/>
    </row>
    <row r="915" spans="4:8" ht="13.5" customHeight="1">
      <c r="D915" s="605"/>
      <c r="F915" s="605"/>
      <c r="H915" s="605"/>
    </row>
    <row r="916" spans="4:8" ht="13.5" customHeight="1">
      <c r="D916" s="605"/>
      <c r="F916" s="605"/>
      <c r="H916" s="605"/>
    </row>
    <row r="917" spans="4:8" ht="13.5" customHeight="1">
      <c r="D917" s="605"/>
      <c r="F917" s="605"/>
      <c r="H917" s="605"/>
    </row>
    <row r="918" spans="4:8" ht="13.5" customHeight="1">
      <c r="D918" s="605"/>
      <c r="F918" s="605"/>
      <c r="H918" s="605"/>
    </row>
    <row r="919" spans="4:8" ht="13.5" customHeight="1">
      <c r="D919" s="605"/>
      <c r="F919" s="605"/>
      <c r="H919" s="605"/>
    </row>
    <row r="920" spans="4:8" ht="13.5" customHeight="1">
      <c r="D920" s="605"/>
      <c r="F920" s="605"/>
      <c r="H920" s="605"/>
    </row>
    <row r="921" spans="4:8" ht="13.5" customHeight="1">
      <c r="D921" s="605"/>
      <c r="F921" s="605"/>
      <c r="H921" s="605"/>
    </row>
    <row r="922" spans="4:8" ht="13.5" customHeight="1">
      <c r="D922" s="605"/>
      <c r="F922" s="605"/>
      <c r="H922" s="605"/>
    </row>
    <row r="923" spans="4:8" ht="13.5" customHeight="1">
      <c r="D923" s="605"/>
      <c r="F923" s="605"/>
      <c r="H923" s="605"/>
    </row>
    <row r="924" spans="4:8" ht="13.5" customHeight="1">
      <c r="D924" s="605"/>
      <c r="F924" s="605"/>
      <c r="H924" s="605"/>
    </row>
    <row r="925" spans="4:8" ht="13.5" customHeight="1">
      <c r="D925" s="605"/>
      <c r="F925" s="605"/>
      <c r="H925" s="605"/>
    </row>
    <row r="926" spans="4:8" ht="13.5" customHeight="1">
      <c r="D926" s="605"/>
      <c r="F926" s="605"/>
      <c r="H926" s="605"/>
    </row>
    <row r="927" spans="4:8" ht="13.5" customHeight="1">
      <c r="D927" s="605"/>
      <c r="F927" s="605"/>
      <c r="H927" s="605"/>
    </row>
    <row r="928" spans="4:8" ht="13.5" customHeight="1">
      <c r="D928" s="605"/>
      <c r="F928" s="605"/>
      <c r="H928" s="605"/>
    </row>
    <row r="929" spans="4:8" ht="13.5" customHeight="1">
      <c r="D929" s="605"/>
      <c r="F929" s="605"/>
      <c r="H929" s="605"/>
    </row>
    <row r="930" spans="4:8" ht="13.5" customHeight="1">
      <c r="D930" s="605"/>
      <c r="F930" s="605"/>
      <c r="H930" s="605"/>
    </row>
    <row r="931" spans="4:8" ht="13.5" customHeight="1">
      <c r="D931" s="605"/>
      <c r="F931" s="605"/>
      <c r="H931" s="605"/>
    </row>
    <row r="932" spans="4:8" ht="13.5" customHeight="1">
      <c r="D932" s="605"/>
      <c r="F932" s="605"/>
      <c r="H932" s="605"/>
    </row>
    <row r="933" spans="4:8" ht="13.5" customHeight="1">
      <c r="D933" s="605"/>
      <c r="F933" s="605"/>
      <c r="H933" s="605"/>
    </row>
    <row r="934" spans="4:8" ht="13.5" customHeight="1">
      <c r="D934" s="605"/>
      <c r="F934" s="605"/>
      <c r="H934" s="605"/>
    </row>
    <row r="935" spans="4:8" ht="13.5" customHeight="1">
      <c r="D935" s="605"/>
      <c r="F935" s="605"/>
      <c r="H935" s="605"/>
    </row>
    <row r="936" spans="4:8" ht="13.5" customHeight="1">
      <c r="D936" s="605"/>
      <c r="F936" s="605"/>
      <c r="H936" s="605"/>
    </row>
    <row r="937" spans="4:8" ht="13.5" customHeight="1">
      <c r="D937" s="605"/>
      <c r="F937" s="605"/>
      <c r="H937" s="605"/>
    </row>
    <row r="938" spans="4:8" ht="13.5" customHeight="1">
      <c r="D938" s="605"/>
      <c r="F938" s="605"/>
      <c r="H938" s="605"/>
    </row>
    <row r="939" spans="4:8" ht="13.5" customHeight="1">
      <c r="D939" s="605"/>
      <c r="F939" s="605"/>
      <c r="H939" s="605"/>
    </row>
    <row r="940" spans="4:8" ht="13.5" customHeight="1">
      <c r="D940" s="605"/>
      <c r="F940" s="605"/>
      <c r="H940" s="605"/>
    </row>
    <row r="941" spans="4:8" ht="13.5" customHeight="1">
      <c r="D941" s="605"/>
      <c r="F941" s="605"/>
      <c r="H941" s="605"/>
    </row>
    <row r="942" spans="4:8" ht="13.5" customHeight="1">
      <c r="D942" s="605"/>
      <c r="F942" s="605"/>
      <c r="H942" s="605"/>
    </row>
    <row r="943" spans="4:8" ht="13.5" customHeight="1">
      <c r="D943" s="605"/>
      <c r="F943" s="605"/>
      <c r="H943" s="605"/>
    </row>
    <row r="944" spans="4:8" ht="13.5" customHeight="1">
      <c r="D944" s="605"/>
      <c r="F944" s="605"/>
      <c r="H944" s="605"/>
    </row>
    <row r="945" spans="4:8" ht="13.5" customHeight="1">
      <c r="D945" s="605"/>
      <c r="F945" s="605"/>
      <c r="H945" s="605"/>
    </row>
    <row r="946" spans="4:8" ht="13.5" customHeight="1">
      <c r="D946" s="605"/>
      <c r="F946" s="605"/>
      <c r="H946" s="605"/>
    </row>
    <row r="947" spans="4:8" ht="13.5" customHeight="1">
      <c r="D947" s="605"/>
      <c r="F947" s="605"/>
      <c r="H947" s="605"/>
    </row>
    <row r="948" spans="4:8" ht="13.5" customHeight="1">
      <c r="D948" s="605"/>
      <c r="F948" s="605"/>
      <c r="H948" s="605"/>
    </row>
    <row r="949" spans="4:8" ht="13.5" customHeight="1">
      <c r="D949" s="605"/>
      <c r="F949" s="605"/>
      <c r="H949" s="605"/>
    </row>
    <row r="950" spans="4:8" ht="13.5" customHeight="1">
      <c r="D950" s="605"/>
      <c r="F950" s="605"/>
      <c r="H950" s="605"/>
    </row>
    <row r="951" spans="4:8" ht="13.5" customHeight="1">
      <c r="D951" s="605"/>
      <c r="F951" s="605"/>
      <c r="H951" s="605"/>
    </row>
    <row r="952" spans="4:8" ht="13.5" customHeight="1">
      <c r="D952" s="605"/>
      <c r="F952" s="605"/>
      <c r="H952" s="605"/>
    </row>
    <row r="953" spans="4:8" ht="13.5" customHeight="1">
      <c r="D953" s="605"/>
      <c r="F953" s="605"/>
      <c r="H953" s="605"/>
    </row>
    <row r="954" spans="4:8" ht="13.5" customHeight="1">
      <c r="D954" s="605"/>
      <c r="F954" s="605"/>
      <c r="H954" s="605"/>
    </row>
    <row r="955" spans="4:8" ht="13.5" customHeight="1">
      <c r="D955" s="605"/>
      <c r="F955" s="605"/>
      <c r="H955" s="605"/>
    </row>
    <row r="956" spans="4:8" ht="13.5" customHeight="1">
      <c r="D956" s="605"/>
      <c r="F956" s="605"/>
      <c r="H956" s="605"/>
    </row>
    <row r="957" spans="4:8" ht="13.5" customHeight="1">
      <c r="D957" s="605"/>
      <c r="F957" s="605"/>
      <c r="H957" s="605"/>
    </row>
    <row r="958" spans="4:8" ht="13.5" customHeight="1">
      <c r="D958" s="605"/>
      <c r="F958" s="605"/>
      <c r="H958" s="605"/>
    </row>
    <row r="959" spans="4:8" ht="13.5" customHeight="1">
      <c r="D959" s="605"/>
      <c r="F959" s="605"/>
      <c r="H959" s="605"/>
    </row>
    <row r="960" spans="4:8" ht="13.5" customHeight="1">
      <c r="D960" s="605"/>
      <c r="F960" s="605"/>
      <c r="H960" s="605"/>
    </row>
    <row r="961" spans="4:8" ht="13.5" customHeight="1">
      <c r="D961" s="605"/>
      <c r="F961" s="605"/>
      <c r="H961" s="605"/>
    </row>
    <row r="962" spans="4:8" ht="13.5" customHeight="1">
      <c r="D962" s="605"/>
      <c r="F962" s="605"/>
      <c r="H962" s="605"/>
    </row>
    <row r="963" spans="4:8" ht="13.5" customHeight="1">
      <c r="D963" s="605"/>
      <c r="F963" s="605"/>
      <c r="H963" s="605"/>
    </row>
    <row r="964" spans="4:8" ht="13.5" customHeight="1">
      <c r="D964" s="605"/>
      <c r="F964" s="605"/>
      <c r="H964" s="605"/>
    </row>
    <row r="965" spans="4:8" ht="13.5" customHeight="1">
      <c r="D965" s="605"/>
      <c r="F965" s="605"/>
      <c r="H965" s="605"/>
    </row>
    <row r="966" spans="4:8" ht="13.5" customHeight="1">
      <c r="D966" s="605"/>
      <c r="F966" s="605"/>
      <c r="H966" s="605"/>
    </row>
    <row r="967" spans="4:8" ht="13.5" customHeight="1">
      <c r="D967" s="605"/>
      <c r="F967" s="605"/>
      <c r="H967" s="605"/>
    </row>
    <row r="968" spans="4:8" ht="13.5" customHeight="1">
      <c r="D968" s="605"/>
      <c r="F968" s="605"/>
      <c r="H968" s="605"/>
    </row>
    <row r="969" spans="4:8" ht="13.5" customHeight="1">
      <c r="D969" s="605"/>
      <c r="F969" s="605"/>
      <c r="H969" s="605"/>
    </row>
    <row r="970" spans="4:8" ht="13.5" customHeight="1">
      <c r="D970" s="605"/>
      <c r="F970" s="605"/>
      <c r="H970" s="605"/>
    </row>
    <row r="971" spans="4:8" ht="13.5" customHeight="1">
      <c r="D971" s="605"/>
      <c r="F971" s="605"/>
      <c r="H971" s="605"/>
    </row>
    <row r="972" spans="4:8" ht="13.5" customHeight="1">
      <c r="D972" s="605"/>
      <c r="F972" s="605"/>
      <c r="H972" s="605"/>
    </row>
    <row r="973" spans="4:8" ht="13.5" customHeight="1">
      <c r="D973" s="605"/>
      <c r="F973" s="605"/>
      <c r="H973" s="605"/>
    </row>
    <row r="974" spans="4:8" ht="13.5" customHeight="1">
      <c r="D974" s="605"/>
      <c r="F974" s="605"/>
      <c r="H974" s="605"/>
    </row>
    <row r="975" spans="4:8" ht="13.5" customHeight="1">
      <c r="D975" s="605"/>
      <c r="F975" s="605"/>
      <c r="H975" s="605"/>
    </row>
    <row r="976" spans="4:8" ht="13.5" customHeight="1">
      <c r="D976" s="605"/>
      <c r="F976" s="605"/>
      <c r="H976" s="605"/>
    </row>
    <row r="977" spans="4:8" ht="13.5" customHeight="1">
      <c r="D977" s="605"/>
      <c r="F977" s="605"/>
      <c r="H977" s="605"/>
    </row>
    <row r="978" spans="4:8" ht="13.5" customHeight="1">
      <c r="D978" s="605"/>
      <c r="F978" s="605"/>
      <c r="H978" s="605"/>
    </row>
    <row r="979" spans="4:8" ht="13.5" customHeight="1">
      <c r="D979" s="605"/>
      <c r="F979" s="605"/>
      <c r="H979" s="605"/>
    </row>
    <row r="980" spans="4:8" ht="13.5" customHeight="1">
      <c r="D980" s="605"/>
      <c r="F980" s="605"/>
      <c r="H980" s="605"/>
    </row>
    <row r="981" spans="4:8" ht="13.5" customHeight="1">
      <c r="D981" s="605"/>
      <c r="F981" s="605"/>
      <c r="H981" s="605"/>
    </row>
    <row r="982" spans="4:8" ht="13.5" customHeight="1">
      <c r="D982" s="605"/>
      <c r="F982" s="605"/>
      <c r="H982" s="605"/>
    </row>
    <row r="983" spans="4:8" ht="13.5" customHeight="1">
      <c r="D983" s="605"/>
      <c r="F983" s="605"/>
      <c r="H983" s="605"/>
    </row>
    <row r="984" spans="4:8" ht="13.5" customHeight="1">
      <c r="D984" s="605"/>
      <c r="F984" s="605"/>
      <c r="H984" s="605"/>
    </row>
    <row r="985" spans="4:8" ht="13.5" customHeight="1">
      <c r="D985" s="605"/>
      <c r="F985" s="605"/>
      <c r="H985" s="605"/>
    </row>
    <row r="986" spans="4:8" ht="13.5" customHeight="1">
      <c r="D986" s="605"/>
      <c r="F986" s="605"/>
      <c r="H986" s="605"/>
    </row>
    <row r="987" spans="4:8" ht="13.5" customHeight="1">
      <c r="D987" s="605"/>
      <c r="F987" s="605"/>
      <c r="H987" s="605"/>
    </row>
    <row r="988" spans="4:8" ht="13.5" customHeight="1">
      <c r="D988" s="605"/>
      <c r="F988" s="605"/>
      <c r="H988" s="605"/>
    </row>
    <row r="989" spans="4:8" ht="13.5" customHeight="1">
      <c r="D989" s="605"/>
      <c r="F989" s="605"/>
      <c r="H989" s="605"/>
    </row>
    <row r="990" spans="4:8" ht="13.5" customHeight="1">
      <c r="D990" s="605"/>
      <c r="F990" s="605"/>
      <c r="H990" s="605"/>
    </row>
    <row r="991" spans="4:8" ht="13.5" customHeight="1">
      <c r="D991" s="605"/>
      <c r="F991" s="605"/>
      <c r="H991" s="605"/>
    </row>
    <row r="992" spans="4:8" ht="13.5" customHeight="1">
      <c r="D992" s="605"/>
      <c r="F992" s="605"/>
      <c r="H992" s="605"/>
    </row>
    <row r="993" spans="4:8" ht="13.5" customHeight="1">
      <c r="D993" s="605"/>
      <c r="F993" s="605"/>
      <c r="H993" s="605"/>
    </row>
    <row r="994" spans="4:8" ht="13.5" customHeight="1">
      <c r="D994" s="605"/>
      <c r="F994" s="605"/>
      <c r="H994" s="605"/>
    </row>
    <row r="995" spans="4:8" ht="13.5" customHeight="1">
      <c r="D995" s="605"/>
      <c r="F995" s="605"/>
      <c r="H995" s="605"/>
    </row>
    <row r="996" spans="4:8" ht="13.5" customHeight="1">
      <c r="D996" s="605"/>
      <c r="F996" s="605"/>
      <c r="H996" s="605"/>
    </row>
    <row r="997" spans="4:8" ht="13.5" customHeight="1">
      <c r="D997" s="605"/>
      <c r="F997" s="605"/>
      <c r="H997" s="605"/>
    </row>
    <row r="998" spans="4:8" ht="13.5" customHeight="1">
      <c r="D998" s="605"/>
      <c r="F998" s="605"/>
      <c r="H998" s="605"/>
    </row>
    <row r="999" spans="4:8" ht="13.5" customHeight="1">
      <c r="D999" s="605"/>
      <c r="F999" s="605"/>
      <c r="H999" s="605"/>
    </row>
    <row r="1000" spans="4:8" ht="13.5" customHeight="1">
      <c r="D1000" s="605"/>
      <c r="F1000" s="605"/>
      <c r="H1000" s="605"/>
    </row>
  </sheetData>
  <autoFilter ref="A3:J66"/>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6"/>
  <sheetViews>
    <sheetView zoomScale="90" zoomScaleNormal="90" workbookViewId="0">
      <selection activeCell="E5" sqref="E5"/>
    </sheetView>
  </sheetViews>
  <sheetFormatPr defaultColWidth="9.109375" defaultRowHeight="14.4"/>
  <cols>
    <col min="1" max="1" width="23.109375" style="615" customWidth="1"/>
    <col min="2" max="2" width="16.6640625" style="615" bestFit="1" customWidth="1"/>
    <col min="3" max="3" width="11.6640625" style="615" customWidth="1"/>
    <col min="4" max="4" width="14" style="615" customWidth="1"/>
    <col min="5" max="5" width="10.109375" style="615" customWidth="1"/>
    <col min="6" max="6" width="12.33203125" style="615" customWidth="1"/>
    <col min="7" max="7" width="12.5546875" style="615" customWidth="1"/>
    <col min="8" max="8" width="9.109375" style="615" customWidth="1"/>
    <col min="9" max="10" width="9.109375" style="615"/>
    <col min="11" max="11" width="7.6640625" style="615" customWidth="1"/>
    <col min="12" max="12" width="19.109375" style="615" customWidth="1"/>
    <col min="13" max="13" width="12" style="615" customWidth="1"/>
    <col min="14" max="14" width="9.33203125" style="615" customWidth="1"/>
    <col min="15" max="15" width="75" style="615" customWidth="1"/>
    <col min="16" max="16384" width="9.109375" style="615"/>
  </cols>
  <sheetData>
    <row r="1" spans="1:15">
      <c r="A1" s="937" t="s">
        <v>2445</v>
      </c>
      <c r="B1" s="938"/>
      <c r="C1" s="938"/>
      <c r="D1" s="938"/>
      <c r="E1" s="938"/>
      <c r="F1" s="938"/>
      <c r="G1" s="938"/>
      <c r="H1" s="938"/>
      <c r="I1" s="938"/>
      <c r="J1" s="938"/>
      <c r="K1" s="938"/>
      <c r="L1" s="938"/>
      <c r="M1" s="939"/>
      <c r="N1" s="629"/>
    </row>
    <row r="2" spans="1:15">
      <c r="A2" s="616"/>
      <c r="B2" s="616"/>
      <c r="C2" s="937" t="s">
        <v>2446</v>
      </c>
      <c r="D2" s="938"/>
      <c r="E2" s="938"/>
      <c r="F2" s="938"/>
      <c r="G2" s="938"/>
      <c r="H2" s="939"/>
      <c r="I2" s="940" t="s">
        <v>2447</v>
      </c>
      <c r="J2" s="941"/>
      <c r="K2" s="941"/>
      <c r="L2" s="941"/>
      <c r="M2" s="941"/>
      <c r="N2" s="941"/>
    </row>
    <row r="3" spans="1:15" ht="102.6" customHeight="1">
      <c r="A3" s="942" t="s">
        <v>300</v>
      </c>
      <c r="B3" s="943" t="s">
        <v>2448</v>
      </c>
      <c r="C3" s="930" t="s">
        <v>2449</v>
      </c>
      <c r="D3" s="930" t="s">
        <v>2450</v>
      </c>
      <c r="E3" s="930" t="s">
        <v>2451</v>
      </c>
      <c r="F3" s="930" t="s">
        <v>2452</v>
      </c>
      <c r="G3" s="945" t="s">
        <v>2453</v>
      </c>
      <c r="H3" s="946"/>
      <c r="I3" s="930" t="s">
        <v>2449</v>
      </c>
      <c r="J3" s="930" t="s">
        <v>2451</v>
      </c>
      <c r="K3" s="930" t="s">
        <v>2454</v>
      </c>
      <c r="L3" s="930" t="s">
        <v>2455</v>
      </c>
      <c r="M3" s="932" t="s">
        <v>2453</v>
      </c>
      <c r="N3" s="932"/>
    </row>
    <row r="4" spans="1:15" ht="61.2" hidden="1" customHeight="1">
      <c r="A4" s="942"/>
      <c r="B4" s="944"/>
      <c r="C4" s="931"/>
      <c r="D4" s="931"/>
      <c r="E4" s="931"/>
      <c r="F4" s="931"/>
      <c r="G4" s="947"/>
      <c r="H4" s="948"/>
      <c r="I4" s="931"/>
      <c r="J4" s="931"/>
      <c r="K4" s="931"/>
      <c r="L4" s="931"/>
      <c r="M4" s="933"/>
      <c r="N4" s="934"/>
    </row>
    <row r="5" spans="1:15" ht="15.75" customHeight="1">
      <c r="A5" s="617" t="s">
        <v>10</v>
      </c>
      <c r="B5" s="618" t="s">
        <v>2456</v>
      </c>
      <c r="C5" s="862">
        <v>325</v>
      </c>
      <c r="D5" s="862">
        <f>C5*0.5</f>
        <v>162.5</v>
      </c>
      <c r="E5" s="862">
        <v>167</v>
      </c>
      <c r="F5" s="619">
        <f t="shared" ref="F5:F29" si="0">D5-E5</f>
        <v>-4.5</v>
      </c>
      <c r="G5" s="630">
        <v>0.7</v>
      </c>
      <c r="H5" s="641">
        <v>117</v>
      </c>
      <c r="I5" s="862">
        <v>104</v>
      </c>
      <c r="J5" s="616">
        <v>67</v>
      </c>
      <c r="K5" s="616"/>
      <c r="L5" s="619">
        <f t="shared" ref="L5:L29" si="1">I5-J5-K5</f>
        <v>37</v>
      </c>
      <c r="M5" s="630">
        <v>0.7</v>
      </c>
      <c r="N5" s="631">
        <f>J5*M5</f>
        <v>46.9</v>
      </c>
    </row>
    <row r="6" spans="1:15" ht="15.6" hidden="1">
      <c r="A6" s="617" t="s">
        <v>367</v>
      </c>
      <c r="B6" s="620" t="s">
        <v>2457</v>
      </c>
      <c r="C6" s="862">
        <v>440</v>
      </c>
      <c r="D6" s="862">
        <f t="shared" ref="D6:D30" si="2">C6*0.5</f>
        <v>220</v>
      </c>
      <c r="E6" s="862">
        <v>130</v>
      </c>
      <c r="F6" s="619">
        <f t="shared" si="0"/>
        <v>90</v>
      </c>
      <c r="G6" s="621"/>
      <c r="H6" s="621"/>
      <c r="I6" s="862">
        <v>154</v>
      </c>
      <c r="J6" s="616">
        <v>87</v>
      </c>
      <c r="K6" s="616"/>
      <c r="L6" s="619">
        <f t="shared" si="1"/>
        <v>67</v>
      </c>
      <c r="M6" s="616"/>
    </row>
    <row r="7" spans="1:15" ht="15.75" customHeight="1">
      <c r="A7" s="617" t="s">
        <v>57</v>
      </c>
      <c r="B7" s="618" t="s">
        <v>2456</v>
      </c>
      <c r="C7" s="862">
        <v>1606</v>
      </c>
      <c r="D7" s="862">
        <f t="shared" si="2"/>
        <v>803</v>
      </c>
      <c r="E7" s="862">
        <v>427</v>
      </c>
      <c r="F7" s="619">
        <f t="shared" si="0"/>
        <v>376</v>
      </c>
      <c r="G7" s="630">
        <v>0.7</v>
      </c>
      <c r="H7" s="641">
        <v>299</v>
      </c>
      <c r="I7" s="862">
        <v>654</v>
      </c>
      <c r="J7" s="616">
        <v>425</v>
      </c>
      <c r="K7" s="616">
        <v>55</v>
      </c>
      <c r="L7" s="619">
        <f t="shared" si="1"/>
        <v>174</v>
      </c>
      <c r="M7" s="630">
        <v>0.7</v>
      </c>
      <c r="N7" s="631">
        <v>297</v>
      </c>
    </row>
    <row r="8" spans="1:15" ht="15.6" hidden="1">
      <c r="A8" s="617" t="s">
        <v>73</v>
      </c>
      <c r="B8" s="620" t="s">
        <v>2457</v>
      </c>
      <c r="C8" s="862">
        <v>675</v>
      </c>
      <c r="D8" s="862">
        <f t="shared" si="2"/>
        <v>337.5</v>
      </c>
      <c r="E8" s="862">
        <v>249</v>
      </c>
      <c r="F8" s="619">
        <f t="shared" si="0"/>
        <v>88.5</v>
      </c>
      <c r="G8" s="621"/>
      <c r="H8" s="621"/>
      <c r="I8" s="862">
        <v>291</v>
      </c>
      <c r="J8" s="616">
        <v>182</v>
      </c>
      <c r="K8" s="616">
        <v>55</v>
      </c>
      <c r="L8" s="619">
        <f t="shared" si="1"/>
        <v>54</v>
      </c>
      <c r="M8" s="616"/>
    </row>
    <row r="9" spans="1:15" ht="15.75" customHeight="1">
      <c r="A9" s="617" t="s">
        <v>77</v>
      </c>
      <c r="B9" s="618" t="s">
        <v>2456</v>
      </c>
      <c r="C9" s="862">
        <v>479</v>
      </c>
      <c r="D9" s="862">
        <f t="shared" si="2"/>
        <v>239.5</v>
      </c>
      <c r="E9" s="862">
        <v>176</v>
      </c>
      <c r="F9" s="619">
        <f t="shared" si="0"/>
        <v>63.5</v>
      </c>
      <c r="G9" s="630">
        <v>0.7</v>
      </c>
      <c r="H9" s="641">
        <v>123</v>
      </c>
      <c r="I9" s="862">
        <v>136</v>
      </c>
      <c r="J9" s="616">
        <v>109</v>
      </c>
      <c r="K9" s="616"/>
      <c r="L9" s="619">
        <f t="shared" si="1"/>
        <v>27</v>
      </c>
      <c r="M9" s="630">
        <v>0.7</v>
      </c>
      <c r="N9" s="631">
        <f>J9*M9</f>
        <v>76.3</v>
      </c>
    </row>
    <row r="10" spans="1:15" ht="15.6" hidden="1">
      <c r="A10" s="617" t="s">
        <v>81</v>
      </c>
      <c r="B10" s="620" t="s">
        <v>2457</v>
      </c>
      <c r="C10" s="862">
        <v>785</v>
      </c>
      <c r="D10" s="862">
        <f t="shared" si="2"/>
        <v>392.5</v>
      </c>
      <c r="E10" s="862">
        <v>152</v>
      </c>
      <c r="F10" s="619">
        <f t="shared" si="0"/>
        <v>240.5</v>
      </c>
      <c r="G10" s="621"/>
      <c r="H10" s="621"/>
      <c r="I10" s="862">
        <v>143</v>
      </c>
      <c r="J10" s="616">
        <v>113</v>
      </c>
      <c r="K10" s="616"/>
      <c r="L10" s="619">
        <f t="shared" si="1"/>
        <v>30</v>
      </c>
      <c r="M10" s="616"/>
    </row>
    <row r="11" spans="1:15" ht="15.75" customHeight="1">
      <c r="A11" s="617" t="s">
        <v>85</v>
      </c>
      <c r="B11" s="618" t="s">
        <v>2456</v>
      </c>
      <c r="C11" s="862">
        <v>481</v>
      </c>
      <c r="D11" s="862">
        <f t="shared" si="2"/>
        <v>240.5</v>
      </c>
      <c r="E11" s="862">
        <v>240</v>
      </c>
      <c r="F11" s="619">
        <f t="shared" si="0"/>
        <v>0.5</v>
      </c>
      <c r="G11" s="630">
        <v>0.5</v>
      </c>
      <c r="H11" s="641">
        <v>120</v>
      </c>
      <c r="I11" s="862">
        <v>239</v>
      </c>
      <c r="J11" s="616">
        <v>194</v>
      </c>
      <c r="K11" s="616">
        <v>55</v>
      </c>
      <c r="L11" s="619">
        <f t="shared" si="1"/>
        <v>-10</v>
      </c>
      <c r="M11" s="630">
        <v>0.5</v>
      </c>
      <c r="N11" s="631">
        <f>J11*M11</f>
        <v>97</v>
      </c>
      <c r="O11" s="615" t="s">
        <v>2458</v>
      </c>
    </row>
    <row r="12" spans="1:15" ht="15.75" customHeight="1">
      <c r="A12" s="617" t="s">
        <v>87</v>
      </c>
      <c r="B12" s="620" t="s">
        <v>2456</v>
      </c>
      <c r="C12" s="862">
        <v>373</v>
      </c>
      <c r="D12" s="862">
        <f t="shared" si="2"/>
        <v>186.5</v>
      </c>
      <c r="E12" s="862">
        <v>160</v>
      </c>
      <c r="F12" s="619">
        <f t="shared" si="0"/>
        <v>26.5</v>
      </c>
      <c r="G12" s="630">
        <v>0.7</v>
      </c>
      <c r="H12" s="641">
        <v>112</v>
      </c>
      <c r="I12" s="862">
        <v>110</v>
      </c>
      <c r="J12" s="616">
        <v>56</v>
      </c>
      <c r="K12" s="616"/>
      <c r="L12" s="619">
        <f t="shared" si="1"/>
        <v>54</v>
      </c>
      <c r="M12" s="630">
        <v>0.7</v>
      </c>
      <c r="N12" s="631">
        <f>J12*M12</f>
        <v>39.199999999999996</v>
      </c>
    </row>
    <row r="13" spans="1:15" ht="15.6" hidden="1">
      <c r="A13" s="617" t="s">
        <v>371</v>
      </c>
      <c r="B13" s="618" t="s">
        <v>2457</v>
      </c>
      <c r="C13" s="862">
        <v>699</v>
      </c>
      <c r="D13" s="862">
        <f t="shared" si="2"/>
        <v>349.5</v>
      </c>
      <c r="E13" s="862">
        <v>244</v>
      </c>
      <c r="F13" s="619">
        <f t="shared" si="0"/>
        <v>105.5</v>
      </c>
      <c r="G13" s="621"/>
      <c r="H13" s="621"/>
      <c r="I13" s="862">
        <v>239</v>
      </c>
      <c r="J13" s="616">
        <v>145</v>
      </c>
      <c r="K13" s="616"/>
      <c r="L13" s="619">
        <f t="shared" si="1"/>
        <v>94</v>
      </c>
      <c r="M13" s="616"/>
    </row>
    <row r="14" spans="1:15" ht="15.75" customHeight="1">
      <c r="A14" s="617" t="s">
        <v>89</v>
      </c>
      <c r="B14" s="620" t="s">
        <v>2456</v>
      </c>
      <c r="C14" s="862">
        <v>343</v>
      </c>
      <c r="D14" s="862">
        <f t="shared" si="2"/>
        <v>171.5</v>
      </c>
      <c r="E14" s="862">
        <v>116</v>
      </c>
      <c r="F14" s="619">
        <f t="shared" si="0"/>
        <v>55.5</v>
      </c>
      <c r="G14" s="630">
        <v>0.7</v>
      </c>
      <c r="H14" s="641">
        <v>81</v>
      </c>
      <c r="I14" s="862">
        <v>138</v>
      </c>
      <c r="J14" s="616">
        <v>111</v>
      </c>
      <c r="K14" s="616">
        <v>55</v>
      </c>
      <c r="L14" s="619">
        <f t="shared" si="1"/>
        <v>-28</v>
      </c>
      <c r="M14" s="630">
        <v>0.7</v>
      </c>
      <c r="N14" s="631">
        <f>J14*M14</f>
        <v>77.699999999999989</v>
      </c>
    </row>
    <row r="15" spans="1:15" ht="15.75" customHeight="1">
      <c r="A15" s="617" t="s">
        <v>2459</v>
      </c>
      <c r="B15" s="618" t="s">
        <v>2456</v>
      </c>
      <c r="C15" s="862">
        <v>235</v>
      </c>
      <c r="D15" s="862">
        <f t="shared" si="2"/>
        <v>117.5</v>
      </c>
      <c r="E15" s="862">
        <v>82</v>
      </c>
      <c r="F15" s="619">
        <f t="shared" si="0"/>
        <v>35.5</v>
      </c>
      <c r="G15" s="630">
        <v>0</v>
      </c>
      <c r="H15" s="631">
        <v>0</v>
      </c>
      <c r="I15" s="862">
        <v>104</v>
      </c>
      <c r="J15" s="616">
        <v>80</v>
      </c>
      <c r="K15" s="616">
        <v>55</v>
      </c>
      <c r="L15" s="619">
        <f t="shared" si="1"/>
        <v>-31</v>
      </c>
      <c r="M15" s="630">
        <v>0</v>
      </c>
      <c r="N15" s="631">
        <f>J15*M15</f>
        <v>0</v>
      </c>
      <c r="O15" s="615" t="s">
        <v>2460</v>
      </c>
    </row>
    <row r="16" spans="1:15" ht="15.6" hidden="1">
      <c r="A16" s="617" t="s">
        <v>94</v>
      </c>
      <c r="B16" s="620" t="s">
        <v>2457</v>
      </c>
      <c r="C16" s="862">
        <v>1077</v>
      </c>
      <c r="D16" s="862">
        <f t="shared" si="2"/>
        <v>538.5</v>
      </c>
      <c r="E16" s="862">
        <v>328</v>
      </c>
      <c r="F16" s="619">
        <f t="shared" si="0"/>
        <v>210.5</v>
      </c>
      <c r="G16" s="621"/>
      <c r="H16" s="621"/>
      <c r="I16" s="862">
        <v>258</v>
      </c>
      <c r="J16" s="616">
        <v>146</v>
      </c>
      <c r="K16" s="616"/>
      <c r="L16" s="619">
        <f t="shared" si="1"/>
        <v>112</v>
      </c>
      <c r="M16" s="616"/>
    </row>
    <row r="17" spans="1:15" ht="15.6" hidden="1">
      <c r="A17" s="617" t="s">
        <v>113</v>
      </c>
      <c r="B17" s="618" t="s">
        <v>2457</v>
      </c>
      <c r="C17" s="862">
        <v>384</v>
      </c>
      <c r="D17" s="862">
        <f t="shared" si="2"/>
        <v>192</v>
      </c>
      <c r="E17" s="862">
        <v>121</v>
      </c>
      <c r="F17" s="619">
        <f t="shared" si="0"/>
        <v>71</v>
      </c>
      <c r="G17" s="621"/>
      <c r="H17" s="621"/>
      <c r="I17" s="862">
        <v>214</v>
      </c>
      <c r="J17" s="616">
        <v>153</v>
      </c>
      <c r="K17" s="616">
        <v>55</v>
      </c>
      <c r="L17" s="619">
        <f t="shared" si="1"/>
        <v>6</v>
      </c>
      <c r="M17" s="616"/>
    </row>
    <row r="18" spans="1:15" ht="15.6" hidden="1">
      <c r="A18" s="617" t="s">
        <v>91</v>
      </c>
      <c r="B18" s="620" t="s">
        <v>2457</v>
      </c>
      <c r="C18" s="862">
        <v>2134</v>
      </c>
      <c r="D18" s="862">
        <f t="shared" si="2"/>
        <v>1067</v>
      </c>
      <c r="E18" s="862">
        <v>651</v>
      </c>
      <c r="F18" s="619">
        <f t="shared" si="0"/>
        <v>416</v>
      </c>
      <c r="G18" s="621"/>
      <c r="H18" s="621"/>
      <c r="I18" s="862">
        <v>555</v>
      </c>
      <c r="J18" s="616">
        <v>323</v>
      </c>
      <c r="K18" s="616">
        <v>55</v>
      </c>
      <c r="L18" s="619">
        <f t="shared" si="1"/>
        <v>177</v>
      </c>
      <c r="M18" s="616"/>
    </row>
    <row r="19" spans="1:15" ht="15.75" customHeight="1">
      <c r="A19" s="617" t="s">
        <v>126</v>
      </c>
      <c r="B19" s="618" t="s">
        <v>2456</v>
      </c>
      <c r="C19" s="862">
        <v>339</v>
      </c>
      <c r="D19" s="862">
        <f t="shared" si="2"/>
        <v>169.5</v>
      </c>
      <c r="E19" s="862">
        <v>153</v>
      </c>
      <c r="F19" s="619">
        <f t="shared" si="0"/>
        <v>16.5</v>
      </c>
      <c r="G19" s="630">
        <v>0.7</v>
      </c>
      <c r="H19" s="641">
        <v>107</v>
      </c>
      <c r="I19" s="863">
        <v>186</v>
      </c>
      <c r="J19" s="616">
        <v>105</v>
      </c>
      <c r="K19" s="616">
        <v>55</v>
      </c>
      <c r="L19" s="619">
        <f t="shared" si="1"/>
        <v>26</v>
      </c>
      <c r="M19" s="630">
        <v>0.7</v>
      </c>
      <c r="N19" s="631">
        <f>J19*M19</f>
        <v>73.5</v>
      </c>
    </row>
    <row r="20" spans="1:15" ht="15.75" customHeight="1">
      <c r="A20" s="617" t="s">
        <v>128</v>
      </c>
      <c r="B20" s="620" t="s">
        <v>2456</v>
      </c>
      <c r="C20" s="862">
        <v>403</v>
      </c>
      <c r="D20" s="862">
        <f t="shared" si="2"/>
        <v>201.5</v>
      </c>
      <c r="E20" s="862">
        <v>130</v>
      </c>
      <c r="F20" s="619">
        <f t="shared" si="0"/>
        <v>71.5</v>
      </c>
      <c r="G20" s="630">
        <v>0.7</v>
      </c>
      <c r="H20" s="641">
        <v>91</v>
      </c>
      <c r="I20" s="862">
        <v>74</v>
      </c>
      <c r="J20" s="616">
        <v>48</v>
      </c>
      <c r="K20" s="616">
        <v>55</v>
      </c>
      <c r="L20" s="619">
        <f t="shared" si="1"/>
        <v>-29</v>
      </c>
      <c r="M20" s="630">
        <v>0.7</v>
      </c>
      <c r="N20" s="631">
        <f>J20*M20</f>
        <v>33.599999999999994</v>
      </c>
    </row>
    <row r="21" spans="1:15" ht="15.75" customHeight="1">
      <c r="A21" s="617" t="s">
        <v>131</v>
      </c>
      <c r="B21" s="618" t="s">
        <v>2456</v>
      </c>
      <c r="C21" s="862">
        <v>366</v>
      </c>
      <c r="D21" s="862">
        <f t="shared" si="2"/>
        <v>183</v>
      </c>
      <c r="E21" s="862">
        <v>147</v>
      </c>
      <c r="F21" s="619">
        <f t="shared" si="0"/>
        <v>36</v>
      </c>
      <c r="G21" s="630">
        <v>0.5</v>
      </c>
      <c r="H21" s="641">
        <v>74</v>
      </c>
      <c r="I21" s="862">
        <v>120</v>
      </c>
      <c r="J21" s="616">
        <v>77</v>
      </c>
      <c r="K21" s="616"/>
      <c r="L21" s="619">
        <f t="shared" si="1"/>
        <v>43</v>
      </c>
      <c r="M21" s="630">
        <v>0.5</v>
      </c>
      <c r="N21" s="631">
        <f>J21*M21</f>
        <v>38.5</v>
      </c>
      <c r="O21" s="615" t="s">
        <v>2461</v>
      </c>
    </row>
    <row r="22" spans="1:15" ht="15.75" customHeight="1">
      <c r="A22" s="617" t="s">
        <v>142</v>
      </c>
      <c r="B22" s="620" t="s">
        <v>2456</v>
      </c>
      <c r="C22" s="862">
        <v>200</v>
      </c>
      <c r="D22" s="862">
        <f t="shared" si="2"/>
        <v>100</v>
      </c>
      <c r="E22" s="862">
        <v>89</v>
      </c>
      <c r="F22" s="619">
        <f t="shared" si="0"/>
        <v>11</v>
      </c>
      <c r="G22" s="630">
        <v>0.7</v>
      </c>
      <c r="H22" s="641">
        <v>62</v>
      </c>
      <c r="I22" s="862">
        <v>49</v>
      </c>
      <c r="J22" s="616">
        <v>40</v>
      </c>
      <c r="K22" s="616"/>
      <c r="L22" s="619">
        <f t="shared" si="1"/>
        <v>9</v>
      </c>
      <c r="M22" s="630">
        <v>0.7</v>
      </c>
      <c r="N22" s="631">
        <f>J22*M22</f>
        <v>28</v>
      </c>
    </row>
    <row r="23" spans="1:15" ht="15.75" customHeight="1">
      <c r="A23" s="617" t="s">
        <v>133</v>
      </c>
      <c r="B23" s="618" t="s">
        <v>2456</v>
      </c>
      <c r="C23" s="862">
        <v>603</v>
      </c>
      <c r="D23" s="862">
        <f t="shared" si="2"/>
        <v>301.5</v>
      </c>
      <c r="E23" s="862">
        <v>235</v>
      </c>
      <c r="F23" s="619">
        <f t="shared" si="0"/>
        <v>66.5</v>
      </c>
      <c r="G23" s="630">
        <v>0.5</v>
      </c>
      <c r="H23" s="631">
        <v>118</v>
      </c>
      <c r="I23" s="863">
        <v>267</v>
      </c>
      <c r="J23" s="616">
        <v>186</v>
      </c>
      <c r="K23" s="616"/>
      <c r="L23" s="619">
        <f t="shared" si="1"/>
        <v>81</v>
      </c>
      <c r="M23" s="630">
        <v>0.5</v>
      </c>
      <c r="N23" s="631">
        <f>J23*M23</f>
        <v>93</v>
      </c>
      <c r="O23" s="615" t="s">
        <v>2462</v>
      </c>
    </row>
    <row r="24" spans="1:15" ht="15.6" hidden="1">
      <c r="A24" s="617" t="s">
        <v>344</v>
      </c>
      <c r="B24" s="620" t="s">
        <v>2457</v>
      </c>
      <c r="C24" s="862">
        <v>361</v>
      </c>
      <c r="D24" s="862">
        <f t="shared" si="2"/>
        <v>180.5</v>
      </c>
      <c r="E24" s="862">
        <v>146</v>
      </c>
      <c r="F24" s="619">
        <f t="shared" si="0"/>
        <v>34.5</v>
      </c>
      <c r="G24" s="621"/>
      <c r="H24" s="621"/>
      <c r="I24" s="863">
        <v>198</v>
      </c>
      <c r="J24" s="616">
        <v>140</v>
      </c>
      <c r="K24" s="616">
        <v>55</v>
      </c>
      <c r="L24" s="619">
        <f t="shared" si="1"/>
        <v>3</v>
      </c>
      <c r="M24" s="616"/>
    </row>
    <row r="25" spans="1:15" ht="15.75" customHeight="1">
      <c r="A25" s="617" t="s">
        <v>137</v>
      </c>
      <c r="B25" s="618" t="s">
        <v>2456</v>
      </c>
      <c r="C25" s="862">
        <v>394</v>
      </c>
      <c r="D25" s="862">
        <f t="shared" si="2"/>
        <v>197</v>
      </c>
      <c r="E25" s="862">
        <v>147</v>
      </c>
      <c r="F25" s="619">
        <f t="shared" si="0"/>
        <v>50</v>
      </c>
      <c r="G25" s="630">
        <v>0.7</v>
      </c>
      <c r="H25" s="631">
        <v>103</v>
      </c>
      <c r="I25" s="863">
        <v>88</v>
      </c>
      <c r="J25" s="616">
        <v>86</v>
      </c>
      <c r="K25" s="616"/>
      <c r="L25" s="619">
        <f t="shared" si="1"/>
        <v>2</v>
      </c>
      <c r="M25" s="630">
        <v>0.7</v>
      </c>
      <c r="N25" s="631">
        <f>J25*M25</f>
        <v>60.199999999999996</v>
      </c>
    </row>
    <row r="26" spans="1:15" ht="15.75" customHeight="1">
      <c r="A26" s="617" t="s">
        <v>139</v>
      </c>
      <c r="B26" s="620" t="s">
        <v>2456</v>
      </c>
      <c r="C26" s="862">
        <v>423</v>
      </c>
      <c r="D26" s="862">
        <f t="shared" si="2"/>
        <v>211.5</v>
      </c>
      <c r="E26" s="862">
        <v>129</v>
      </c>
      <c r="F26" s="619">
        <f t="shared" si="0"/>
        <v>82.5</v>
      </c>
      <c r="G26" s="630">
        <v>0.7</v>
      </c>
      <c r="H26" s="631">
        <v>90</v>
      </c>
      <c r="I26" s="863">
        <v>134</v>
      </c>
      <c r="J26" s="616">
        <v>93</v>
      </c>
      <c r="K26" s="616">
        <v>55</v>
      </c>
      <c r="L26" s="619">
        <f t="shared" si="1"/>
        <v>-14</v>
      </c>
      <c r="M26" s="630">
        <v>0.7</v>
      </c>
      <c r="N26" s="631">
        <f>J26*M26</f>
        <v>65.099999999999994</v>
      </c>
    </row>
    <row r="27" spans="1:15" ht="15.75" customHeight="1">
      <c r="A27" s="617" t="s">
        <v>141</v>
      </c>
      <c r="B27" s="618" t="s">
        <v>2456</v>
      </c>
      <c r="C27" s="862">
        <v>205</v>
      </c>
      <c r="D27" s="862">
        <f t="shared" si="2"/>
        <v>102.5</v>
      </c>
      <c r="E27" s="862">
        <v>62</v>
      </c>
      <c r="F27" s="619">
        <f t="shared" si="0"/>
        <v>40.5</v>
      </c>
      <c r="G27" s="630">
        <v>0.7</v>
      </c>
      <c r="H27" s="631">
        <v>43</v>
      </c>
      <c r="I27" s="863">
        <v>48</v>
      </c>
      <c r="J27" s="616">
        <v>29</v>
      </c>
      <c r="K27" s="616"/>
      <c r="L27" s="619">
        <f t="shared" si="1"/>
        <v>19</v>
      </c>
      <c r="M27" s="630">
        <v>0.7</v>
      </c>
      <c r="N27" s="631">
        <f>J27*M27</f>
        <v>20.299999999999997</v>
      </c>
    </row>
    <row r="28" spans="1:15" ht="15.75" customHeight="1">
      <c r="A28" s="617" t="s">
        <v>144</v>
      </c>
      <c r="B28" s="620" t="s">
        <v>2456</v>
      </c>
      <c r="C28" s="862">
        <v>463</v>
      </c>
      <c r="D28" s="862">
        <f t="shared" si="2"/>
        <v>231.5</v>
      </c>
      <c r="E28" s="862">
        <v>142</v>
      </c>
      <c r="F28" s="619">
        <f t="shared" si="0"/>
        <v>89.5</v>
      </c>
      <c r="G28" s="630">
        <v>0.5</v>
      </c>
      <c r="H28" s="631">
        <v>71</v>
      </c>
      <c r="I28" s="862">
        <v>117</v>
      </c>
      <c r="J28" s="616">
        <v>81</v>
      </c>
      <c r="K28" s="616">
        <v>55</v>
      </c>
      <c r="L28" s="619">
        <f t="shared" si="1"/>
        <v>-19</v>
      </c>
      <c r="M28" s="630">
        <v>0.5</v>
      </c>
      <c r="N28" s="631">
        <f>J28*M28</f>
        <v>40.5</v>
      </c>
      <c r="O28" s="615" t="s">
        <v>2462</v>
      </c>
    </row>
    <row r="29" spans="1:15" ht="15.75" customHeight="1">
      <c r="A29" s="617" t="s">
        <v>169</v>
      </c>
      <c r="B29" s="618" t="s">
        <v>2456</v>
      </c>
      <c r="C29" s="862">
        <v>650</v>
      </c>
      <c r="D29" s="862">
        <f t="shared" si="2"/>
        <v>325</v>
      </c>
      <c r="E29" s="862">
        <v>238</v>
      </c>
      <c r="F29" s="619">
        <f t="shared" si="0"/>
        <v>87</v>
      </c>
      <c r="G29" s="630">
        <v>0.7</v>
      </c>
      <c r="H29" s="631">
        <v>167</v>
      </c>
      <c r="I29" s="862">
        <v>187</v>
      </c>
      <c r="J29" s="616">
        <v>161</v>
      </c>
      <c r="K29" s="616"/>
      <c r="L29" s="619">
        <f t="shared" si="1"/>
        <v>26</v>
      </c>
      <c r="M29" s="630">
        <v>0.7</v>
      </c>
      <c r="N29" s="631">
        <f>J29*M29</f>
        <v>112.69999999999999</v>
      </c>
    </row>
    <row r="30" spans="1:15" hidden="1">
      <c r="A30" s="935" t="s">
        <v>2463</v>
      </c>
      <c r="B30" s="936"/>
      <c r="C30" s="622">
        <f>SUM(C5:C29)</f>
        <v>14443</v>
      </c>
      <c r="D30" s="622">
        <f t="shared" si="2"/>
        <v>7221.5</v>
      </c>
      <c r="E30" s="622">
        <v>4860</v>
      </c>
      <c r="F30" s="623">
        <f>SUM(F5:F29)</f>
        <v>2360.5</v>
      </c>
      <c r="G30" s="624">
        <f>F30*6658.438</f>
        <v>15717242.899</v>
      </c>
      <c r="H30" s="624"/>
      <c r="I30" s="625">
        <f>SUM(I5:I29)</f>
        <v>4807</v>
      </c>
      <c r="J30" s="626">
        <f>SUM(J5:J29)</f>
        <v>3237</v>
      </c>
      <c r="K30" s="626">
        <v>660</v>
      </c>
      <c r="L30" s="623">
        <f>SUM(L5:L29)</f>
        <v>910</v>
      </c>
      <c r="M30" s="627">
        <f>L30*12894.69</f>
        <v>11734167.9</v>
      </c>
      <c r="N30" s="632"/>
    </row>
    <row r="31" spans="1:15">
      <c r="A31" s="628"/>
      <c r="B31" s="616"/>
      <c r="C31" s="616"/>
      <c r="D31" s="616"/>
      <c r="E31" s="616"/>
      <c r="F31" s="619"/>
      <c r="G31" s="616"/>
      <c r="H31" s="616"/>
      <c r="I31" s="616"/>
      <c r="J31" s="616"/>
      <c r="K31" s="616"/>
      <c r="L31" s="616"/>
      <c r="M31" s="616"/>
      <c r="N31" s="616"/>
    </row>
    <row r="32" spans="1:15">
      <c r="A32" s="616"/>
      <c r="B32" s="616"/>
      <c r="C32" s="616"/>
      <c r="D32" s="616"/>
      <c r="E32" s="616"/>
      <c r="F32" s="616"/>
      <c r="G32" s="616"/>
      <c r="H32" s="616"/>
      <c r="I32" s="616"/>
      <c r="J32" s="616"/>
      <c r="K32" s="616"/>
      <c r="L32" s="616"/>
      <c r="M32" s="616"/>
      <c r="N32" s="616"/>
    </row>
    <row r="33" spans="1:15" ht="9" customHeight="1"/>
    <row r="34" spans="1:15" ht="40.799999999999997">
      <c r="A34" s="633"/>
      <c r="B34" s="633"/>
      <c r="C34" s="633"/>
      <c r="D34" s="634" t="s">
        <v>2464</v>
      </c>
      <c r="E34" s="634" t="s">
        <v>2465</v>
      </c>
      <c r="F34" s="634" t="s">
        <v>2466</v>
      </c>
      <c r="G34" s="634" t="s">
        <v>2467</v>
      </c>
      <c r="H34" s="634" t="s">
        <v>2468</v>
      </c>
      <c r="O34" s="635"/>
    </row>
    <row r="35" spans="1:15" ht="50.25" customHeight="1">
      <c r="A35" s="928" t="s">
        <v>414</v>
      </c>
      <c r="B35" s="928"/>
      <c r="C35" s="929"/>
      <c r="D35" s="636">
        <v>1948</v>
      </c>
      <c r="E35" s="636">
        <f>J5+J7+J9+J11+J12+J14+J15+J19+J20+J21+J22+J23+J25+J26+J27+J28+J29</f>
        <v>1948</v>
      </c>
      <c r="F35" s="636">
        <f>D35-E35</f>
        <v>0</v>
      </c>
      <c r="G35" s="637">
        <f>N5+N7+N9+N11+N12+N14+N15+N19+N20+N21+N22+N23+N25+N26+N27+N28+N29</f>
        <v>1199.5000000000002</v>
      </c>
      <c r="H35" s="637">
        <f>D35-G35</f>
        <v>748.49999999999977</v>
      </c>
    </row>
    <row r="36" spans="1:15" ht="50.25" customHeight="1">
      <c r="A36" s="928" t="s">
        <v>423</v>
      </c>
      <c r="B36" s="928"/>
      <c r="C36" s="929"/>
      <c r="D36" s="636">
        <v>2454</v>
      </c>
      <c r="E36" s="637">
        <f>E5+E7+E9+E11+E12+E14+E15+E19+E20+E21+E22+E23+E25+E26+E27+E28+E29</f>
        <v>2840</v>
      </c>
      <c r="F36" s="637">
        <f>D36-E36</f>
        <v>-386</v>
      </c>
      <c r="G36" s="637">
        <f>H5+H7+H9+H11+H12+H14+H15+H19+H20+H21+H22+H23+H25+H26+H27+H28+H29</f>
        <v>1778</v>
      </c>
      <c r="H36" s="637">
        <f>D36-G36</f>
        <v>676</v>
      </c>
    </row>
  </sheetData>
  <autoFilter ref="A3:M30">
    <filterColumn colId="1">
      <filters>
        <filter val="Мережа"/>
      </filters>
    </filterColumn>
  </autoFilter>
  <mergeCells count="18">
    <mergeCell ref="L3:L4"/>
    <mergeCell ref="M3:N4"/>
    <mergeCell ref="A30:B30"/>
    <mergeCell ref="A1:M1"/>
    <mergeCell ref="C2:H2"/>
    <mergeCell ref="I2:N2"/>
    <mergeCell ref="A3:A4"/>
    <mergeCell ref="B3:B4"/>
    <mergeCell ref="C3:C4"/>
    <mergeCell ref="D3:D4"/>
    <mergeCell ref="E3:E4"/>
    <mergeCell ref="F3:F4"/>
    <mergeCell ref="G3:H4"/>
    <mergeCell ref="A35:C35"/>
    <mergeCell ref="A36:C36"/>
    <mergeCell ref="I3:I4"/>
    <mergeCell ref="J3:J4"/>
    <mergeCell ref="K3:K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workbookViewId="0">
      <selection activeCell="C1" sqref="C1:C3"/>
    </sheetView>
  </sheetViews>
  <sheetFormatPr defaultRowHeight="14.4"/>
  <cols>
    <col min="1" max="1" width="26.6640625" bestFit="1" customWidth="1"/>
    <col min="2" max="2" width="14.88671875" customWidth="1"/>
    <col min="3" max="3" width="30.33203125" bestFit="1" customWidth="1"/>
    <col min="4" max="4" width="23.6640625" customWidth="1"/>
  </cols>
  <sheetData>
    <row r="1" spans="1:4" ht="14.4" customHeight="1">
      <c r="A1" s="883" t="s">
        <v>230</v>
      </c>
      <c r="B1" s="886" t="s">
        <v>231</v>
      </c>
      <c r="C1" s="886" t="s">
        <v>232</v>
      </c>
      <c r="D1" s="886" t="s">
        <v>233</v>
      </c>
    </row>
    <row r="2" spans="1:4">
      <c r="A2" s="884"/>
      <c r="B2" s="886"/>
      <c r="C2" s="886"/>
      <c r="D2" s="886"/>
    </row>
    <row r="3" spans="1:4">
      <c r="A3" s="885"/>
      <c r="B3" s="886"/>
      <c r="C3" s="886"/>
      <c r="D3" s="886"/>
    </row>
    <row r="4" spans="1:4" ht="41.4">
      <c r="A4" s="858" t="s">
        <v>6</v>
      </c>
      <c r="B4" s="860">
        <v>36474582</v>
      </c>
      <c r="C4" s="859" t="s">
        <v>234</v>
      </c>
      <c r="D4" s="859" t="s">
        <v>235</v>
      </c>
    </row>
    <row r="5" spans="1:4" ht="55.2">
      <c r="A5" s="858" t="s">
        <v>65</v>
      </c>
      <c r="B5" s="860">
        <v>37899317</v>
      </c>
      <c r="C5" s="859" t="s">
        <v>236</v>
      </c>
      <c r="D5" s="859" t="s">
        <v>236</v>
      </c>
    </row>
    <row r="6" spans="1:4" ht="27.6">
      <c r="A6" s="858" t="s">
        <v>84</v>
      </c>
      <c r="B6" s="860">
        <v>33652774</v>
      </c>
      <c r="C6" s="859" t="s">
        <v>237</v>
      </c>
      <c r="D6" s="859" t="s">
        <v>238</v>
      </c>
    </row>
    <row r="7" spans="1:4" ht="110.4">
      <c r="A7" s="858" t="s">
        <v>86</v>
      </c>
      <c r="B7" s="860">
        <v>41295836</v>
      </c>
      <c r="C7" s="859" t="s">
        <v>239</v>
      </c>
      <c r="D7" s="859" t="s">
        <v>240</v>
      </c>
    </row>
    <row r="8" spans="1:4" ht="55.2">
      <c r="A8" s="858" t="s">
        <v>98</v>
      </c>
      <c r="B8" s="860">
        <v>34618692</v>
      </c>
      <c r="C8" s="859" t="s">
        <v>241</v>
      </c>
      <c r="D8" s="859" t="s">
        <v>242</v>
      </c>
    </row>
    <row r="9" spans="1:4" ht="41.4">
      <c r="A9" s="858" t="s">
        <v>56</v>
      </c>
      <c r="B9" s="860">
        <v>33759737</v>
      </c>
      <c r="C9" s="859" t="s">
        <v>243</v>
      </c>
      <c r="D9" s="859" t="s">
        <v>243</v>
      </c>
    </row>
    <row r="10" spans="1:4" ht="69">
      <c r="A10" s="858" t="s">
        <v>88</v>
      </c>
      <c r="B10" s="860">
        <v>33179430</v>
      </c>
      <c r="C10" s="859" t="s">
        <v>244</v>
      </c>
      <c r="D10" s="859" t="s">
        <v>244</v>
      </c>
    </row>
    <row r="11" spans="1:4" ht="41.4">
      <c r="A11" s="858" t="s">
        <v>90</v>
      </c>
      <c r="B11" s="860">
        <v>38174966</v>
      </c>
      <c r="C11" s="859" t="s">
        <v>245</v>
      </c>
      <c r="D11" s="859" t="s">
        <v>245</v>
      </c>
    </row>
    <row r="12" spans="1:4" ht="69">
      <c r="A12" s="858" t="s">
        <v>93</v>
      </c>
      <c r="B12" s="860">
        <v>34768441</v>
      </c>
      <c r="C12" s="859" t="s">
        <v>246</v>
      </c>
      <c r="D12" s="859" t="s">
        <v>247</v>
      </c>
    </row>
    <row r="13" spans="1:4" ht="55.2">
      <c r="A13" s="858" t="s">
        <v>124</v>
      </c>
      <c r="B13" s="860">
        <v>41101416</v>
      </c>
      <c r="C13" s="859" t="s">
        <v>248</v>
      </c>
      <c r="D13" s="859" t="s">
        <v>249</v>
      </c>
    </row>
    <row r="14" spans="1:4" ht="27.6">
      <c r="A14" s="858" t="s">
        <v>127</v>
      </c>
      <c r="B14" s="860">
        <v>36121231</v>
      </c>
      <c r="C14" s="859" t="s">
        <v>250</v>
      </c>
      <c r="D14" s="859" t="s">
        <v>250</v>
      </c>
    </row>
    <row r="15" spans="1:4" ht="55.2">
      <c r="A15" s="858" t="s">
        <v>132</v>
      </c>
      <c r="B15" s="860">
        <v>33204422</v>
      </c>
      <c r="C15" s="859" t="s">
        <v>251</v>
      </c>
      <c r="D15" s="859" t="s">
        <v>252</v>
      </c>
    </row>
    <row r="16" spans="1:4" ht="55.2">
      <c r="A16" s="858" t="s">
        <v>136</v>
      </c>
      <c r="B16" s="860">
        <v>34313044</v>
      </c>
      <c r="C16" s="859" t="s">
        <v>253</v>
      </c>
      <c r="D16" s="859" t="s">
        <v>254</v>
      </c>
    </row>
    <row r="17" spans="1:4" ht="41.4">
      <c r="A17" s="858" t="s">
        <v>138</v>
      </c>
      <c r="B17" s="860">
        <v>36196443</v>
      </c>
      <c r="C17" s="859" t="s">
        <v>255</v>
      </c>
      <c r="D17" s="859" t="s">
        <v>255</v>
      </c>
    </row>
    <row r="18" spans="1:4" ht="55.2">
      <c r="A18" s="858" t="s">
        <v>140</v>
      </c>
      <c r="B18" s="860">
        <v>33260091</v>
      </c>
      <c r="C18" s="859" t="s">
        <v>256</v>
      </c>
      <c r="D18" s="859" t="s">
        <v>256</v>
      </c>
    </row>
    <row r="19" spans="1:4" ht="41.4">
      <c r="A19" s="858" t="s">
        <v>143</v>
      </c>
      <c r="B19" s="860">
        <v>26467497</v>
      </c>
      <c r="C19" s="859" t="s">
        <v>257</v>
      </c>
      <c r="D19" s="859" t="s">
        <v>257</v>
      </c>
    </row>
    <row r="20" spans="1:4" ht="41.4">
      <c r="A20" s="858" t="s">
        <v>196</v>
      </c>
      <c r="B20" s="860">
        <v>26255464</v>
      </c>
      <c r="C20" s="859" t="s">
        <v>258</v>
      </c>
      <c r="D20" s="859" t="s">
        <v>259</v>
      </c>
    </row>
    <row r="21" spans="1:4" ht="41.4">
      <c r="A21" s="858" t="s">
        <v>134</v>
      </c>
      <c r="B21" s="860">
        <v>26348108</v>
      </c>
      <c r="C21" s="859" t="s">
        <v>260</v>
      </c>
      <c r="D21" s="859" t="s">
        <v>261</v>
      </c>
    </row>
    <row r="22" spans="1:4" ht="41.4">
      <c r="A22" s="858" t="s">
        <v>152</v>
      </c>
      <c r="B22" s="860">
        <v>42032511</v>
      </c>
      <c r="C22" s="859" t="s">
        <v>262</v>
      </c>
      <c r="D22" s="859" t="s">
        <v>262</v>
      </c>
    </row>
    <row r="23" spans="1:4" ht="55.2">
      <c r="A23" s="858" t="s">
        <v>184</v>
      </c>
      <c r="B23" s="860">
        <v>41549994</v>
      </c>
      <c r="C23" s="859" t="s">
        <v>263</v>
      </c>
      <c r="D23" s="859" t="s">
        <v>264</v>
      </c>
    </row>
    <row r="24" spans="1:4" ht="41.4">
      <c r="A24" s="858" t="s">
        <v>80</v>
      </c>
      <c r="B24" s="860">
        <v>39775453</v>
      </c>
      <c r="C24" s="859" t="s">
        <v>265</v>
      </c>
      <c r="D24" s="859" t="s">
        <v>266</v>
      </c>
    </row>
    <row r="25" spans="1:4" ht="41.4">
      <c r="A25" s="858" t="s">
        <v>166</v>
      </c>
      <c r="B25" s="860">
        <v>39374709</v>
      </c>
      <c r="C25" s="859" t="s">
        <v>267</v>
      </c>
      <c r="D25" s="859" t="s">
        <v>267</v>
      </c>
    </row>
    <row r="26" spans="1:4" ht="69">
      <c r="A26" s="858" t="s">
        <v>130</v>
      </c>
      <c r="B26" s="860">
        <v>34328684</v>
      </c>
      <c r="C26" s="859" t="s">
        <v>268</v>
      </c>
      <c r="D26" s="859" t="s">
        <v>269</v>
      </c>
    </row>
    <row r="27" spans="1:4" ht="41.4">
      <c r="A27" s="858" t="s">
        <v>179</v>
      </c>
      <c r="B27" s="860">
        <v>38037173</v>
      </c>
      <c r="C27" s="859" t="s">
        <v>270</v>
      </c>
      <c r="D27" s="859" t="s">
        <v>271</v>
      </c>
    </row>
    <row r="28" spans="1:4" ht="69">
      <c r="A28" s="858" t="s">
        <v>76</v>
      </c>
      <c r="B28" s="860">
        <v>36229248</v>
      </c>
      <c r="C28" s="859" t="s">
        <v>272</v>
      </c>
      <c r="D28" s="859" t="s">
        <v>273</v>
      </c>
    </row>
    <row r="29" spans="1:4" ht="27.6">
      <c r="A29" s="858" t="s">
        <v>112</v>
      </c>
      <c r="B29" s="860">
        <v>26362491</v>
      </c>
      <c r="C29" s="859" t="s">
        <v>274</v>
      </c>
      <c r="D29" s="859" t="s">
        <v>275</v>
      </c>
    </row>
    <row r="30" spans="1:4" ht="55.2">
      <c r="A30" s="858" t="s">
        <v>193</v>
      </c>
      <c r="B30" s="860">
        <v>38669583</v>
      </c>
      <c r="C30" s="859" t="s">
        <v>276</v>
      </c>
      <c r="D30" s="859" t="s">
        <v>277</v>
      </c>
    </row>
    <row r="31" spans="1:4" ht="55.2">
      <c r="A31" s="858" t="s">
        <v>125</v>
      </c>
      <c r="B31" s="860">
        <v>25761556</v>
      </c>
      <c r="C31" s="859" t="s">
        <v>278</v>
      </c>
      <c r="D31" s="859" t="s">
        <v>279</v>
      </c>
    </row>
    <row r="32" spans="1:4" ht="55.2">
      <c r="A32" s="858" t="s">
        <v>146</v>
      </c>
      <c r="B32" s="860">
        <v>42132513</v>
      </c>
      <c r="C32" s="859" t="s">
        <v>280</v>
      </c>
      <c r="D32" s="859" t="s">
        <v>281</v>
      </c>
    </row>
    <row r="33" spans="1:4" ht="27.6">
      <c r="A33" s="858" t="s">
        <v>170</v>
      </c>
      <c r="B33" s="860">
        <v>26581566</v>
      </c>
      <c r="C33" s="859" t="s">
        <v>282</v>
      </c>
      <c r="D33" s="859" t="s">
        <v>282</v>
      </c>
    </row>
    <row r="34" spans="1:4" ht="27.6">
      <c r="A34" s="858" t="s">
        <v>155</v>
      </c>
      <c r="B34" s="860">
        <v>37814872</v>
      </c>
      <c r="C34" s="859" t="s">
        <v>283</v>
      </c>
      <c r="D34" s="859" t="s">
        <v>284</v>
      </c>
    </row>
    <row r="35" spans="1:4" ht="41.4">
      <c r="A35" s="858" t="s">
        <v>114</v>
      </c>
      <c r="B35" s="860">
        <v>24059618</v>
      </c>
      <c r="C35" s="859" t="s">
        <v>285</v>
      </c>
      <c r="D35" s="859" t="s">
        <v>286</v>
      </c>
    </row>
    <row r="36" spans="1:4" ht="41.4">
      <c r="A36" s="858" t="s">
        <v>121</v>
      </c>
      <c r="B36" s="860">
        <v>33100910</v>
      </c>
      <c r="C36" s="859" t="s">
        <v>287</v>
      </c>
      <c r="D36" s="859" t="s">
        <v>288</v>
      </c>
    </row>
    <row r="37" spans="1:4" ht="69">
      <c r="A37" s="858" t="s">
        <v>149</v>
      </c>
      <c r="B37" s="860">
        <v>37724810</v>
      </c>
      <c r="C37" s="859" t="s">
        <v>289</v>
      </c>
      <c r="D37" s="859" t="s">
        <v>290</v>
      </c>
    </row>
    <row r="38" spans="1:4" ht="41.4">
      <c r="A38" s="858" t="s">
        <v>160</v>
      </c>
      <c r="B38" s="860">
        <v>43328795</v>
      </c>
      <c r="C38" s="859" t="s">
        <v>291</v>
      </c>
      <c r="D38" s="859" t="s">
        <v>292</v>
      </c>
    </row>
    <row r="39" spans="1:4" ht="41.4">
      <c r="A39" s="858" t="s">
        <v>72</v>
      </c>
      <c r="B39" s="860">
        <v>26319816</v>
      </c>
      <c r="C39" s="859" t="s">
        <v>293</v>
      </c>
      <c r="D39" s="859" t="s">
        <v>293</v>
      </c>
    </row>
    <row r="40" spans="1:4" ht="41.4">
      <c r="A40" s="858" t="s">
        <v>115</v>
      </c>
      <c r="B40" s="860">
        <v>21704627</v>
      </c>
      <c r="C40" s="859" t="s">
        <v>294</v>
      </c>
      <c r="D40" s="859" t="s">
        <v>295</v>
      </c>
    </row>
    <row r="41" spans="1:4" ht="69">
      <c r="A41" s="858" t="s">
        <v>118</v>
      </c>
      <c r="B41" s="860">
        <v>21718500</v>
      </c>
      <c r="C41" s="859" t="s">
        <v>296</v>
      </c>
      <c r="D41" s="859" t="s">
        <v>297</v>
      </c>
    </row>
    <row r="42" spans="1:4" ht="41.4">
      <c r="A42" s="858" t="s">
        <v>217</v>
      </c>
      <c r="B42" s="860">
        <v>26535750</v>
      </c>
      <c r="C42" s="859" t="s">
        <v>298</v>
      </c>
      <c r="D42" s="859" t="s">
        <v>255</v>
      </c>
    </row>
  </sheetData>
  <mergeCells count="4">
    <mergeCell ref="C1:C3"/>
    <mergeCell ref="D1:D3"/>
    <mergeCell ref="A1:A3"/>
    <mergeCell ref="B1: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75"/>
  <sheetViews>
    <sheetView workbookViewId="0">
      <pane xSplit="1" ySplit="1" topLeftCell="B41" activePane="bottomRight" state="frozen"/>
      <selection pane="topRight" activeCell="C1" sqref="C1"/>
      <selection pane="bottomLeft" activeCell="A10" sqref="A10"/>
      <selection pane="bottomRight" activeCell="A72" sqref="A72"/>
    </sheetView>
  </sheetViews>
  <sheetFormatPr defaultColWidth="8.33203125" defaultRowHeight="13.8" outlineLevelCol="1"/>
  <cols>
    <col min="1" max="1" width="63.6640625" style="849" customWidth="1"/>
    <col min="2" max="2" width="15.5546875" style="856" bestFit="1" customWidth="1"/>
    <col min="3" max="3" width="12.33203125" style="849" customWidth="1" outlineLevel="1"/>
    <col min="4" max="4" width="13.109375" style="849" customWidth="1" outlineLevel="1"/>
    <col min="5" max="5" width="12.6640625" style="849" customWidth="1" outlineLevel="1"/>
    <col min="6" max="6" width="13.88671875" style="849" customWidth="1" outlineLevel="1"/>
    <col min="7" max="7" width="11.33203125" style="849" customWidth="1" outlineLevel="1"/>
    <col min="8" max="9" width="8.88671875" style="849" customWidth="1" outlineLevel="1"/>
    <col min="10" max="10" width="13.5546875" style="849" customWidth="1"/>
    <col min="11" max="256" width="8.33203125" style="849"/>
    <col min="257" max="257" width="63.6640625" style="849" customWidth="1"/>
    <col min="258" max="258" width="15.5546875" style="849" bestFit="1" customWidth="1"/>
    <col min="259" max="259" width="12.33203125" style="849" customWidth="1"/>
    <col min="260" max="260" width="13.109375" style="849" customWidth="1"/>
    <col min="261" max="261" width="12.6640625" style="849" customWidth="1"/>
    <col min="262" max="262" width="13.88671875" style="849" customWidth="1"/>
    <col min="263" max="263" width="11.33203125" style="849" customWidth="1"/>
    <col min="264" max="265" width="8.88671875" style="849" customWidth="1"/>
    <col min="266" max="266" width="13.5546875" style="849" customWidth="1"/>
    <col min="267" max="512" width="8.33203125" style="849"/>
    <col min="513" max="513" width="63.6640625" style="849" customWidth="1"/>
    <col min="514" max="514" width="15.5546875" style="849" bestFit="1" customWidth="1"/>
    <col min="515" max="515" width="12.33203125" style="849" customWidth="1"/>
    <col min="516" max="516" width="13.109375" style="849" customWidth="1"/>
    <col min="517" max="517" width="12.6640625" style="849" customWidth="1"/>
    <col min="518" max="518" width="13.88671875" style="849" customWidth="1"/>
    <col min="519" max="519" width="11.33203125" style="849" customWidth="1"/>
    <col min="520" max="521" width="8.88671875" style="849" customWidth="1"/>
    <col min="522" max="522" width="13.5546875" style="849" customWidth="1"/>
    <col min="523" max="768" width="8.33203125" style="849"/>
    <col min="769" max="769" width="63.6640625" style="849" customWidth="1"/>
    <col min="770" max="770" width="15.5546875" style="849" bestFit="1" customWidth="1"/>
    <col min="771" max="771" width="12.33203125" style="849" customWidth="1"/>
    <col min="772" max="772" width="13.109375" style="849" customWidth="1"/>
    <col min="773" max="773" width="12.6640625" style="849" customWidth="1"/>
    <col min="774" max="774" width="13.88671875" style="849" customWidth="1"/>
    <col min="775" max="775" width="11.33203125" style="849" customWidth="1"/>
    <col min="776" max="777" width="8.88671875" style="849" customWidth="1"/>
    <col min="778" max="778" width="13.5546875" style="849" customWidth="1"/>
    <col min="779" max="1024" width="8.33203125" style="849"/>
    <col min="1025" max="1025" width="63.6640625" style="849" customWidth="1"/>
    <col min="1026" max="1026" width="15.5546875" style="849" bestFit="1" customWidth="1"/>
    <col min="1027" max="1027" width="12.33203125" style="849" customWidth="1"/>
    <col min="1028" max="1028" width="13.109375" style="849" customWidth="1"/>
    <col min="1029" max="1029" width="12.6640625" style="849" customWidth="1"/>
    <col min="1030" max="1030" width="13.88671875" style="849" customWidth="1"/>
    <col min="1031" max="1031" width="11.33203125" style="849" customWidth="1"/>
    <col min="1032" max="1033" width="8.88671875" style="849" customWidth="1"/>
    <col min="1034" max="1034" width="13.5546875" style="849" customWidth="1"/>
    <col min="1035" max="1280" width="8.33203125" style="849"/>
    <col min="1281" max="1281" width="63.6640625" style="849" customWidth="1"/>
    <col min="1282" max="1282" width="15.5546875" style="849" bestFit="1" customWidth="1"/>
    <col min="1283" max="1283" width="12.33203125" style="849" customWidth="1"/>
    <col min="1284" max="1284" width="13.109375" style="849" customWidth="1"/>
    <col min="1285" max="1285" width="12.6640625" style="849" customWidth="1"/>
    <col min="1286" max="1286" width="13.88671875" style="849" customWidth="1"/>
    <col min="1287" max="1287" width="11.33203125" style="849" customWidth="1"/>
    <col min="1288" max="1289" width="8.88671875" style="849" customWidth="1"/>
    <col min="1290" max="1290" width="13.5546875" style="849" customWidth="1"/>
    <col min="1291" max="1536" width="8.33203125" style="849"/>
    <col min="1537" max="1537" width="63.6640625" style="849" customWidth="1"/>
    <col min="1538" max="1538" width="15.5546875" style="849" bestFit="1" customWidth="1"/>
    <col min="1539" max="1539" width="12.33203125" style="849" customWidth="1"/>
    <col min="1540" max="1540" width="13.109375" style="849" customWidth="1"/>
    <col min="1541" max="1541" width="12.6640625" style="849" customWidth="1"/>
    <col min="1542" max="1542" width="13.88671875" style="849" customWidth="1"/>
    <col min="1543" max="1543" width="11.33203125" style="849" customWidth="1"/>
    <col min="1544" max="1545" width="8.88671875" style="849" customWidth="1"/>
    <col min="1546" max="1546" width="13.5546875" style="849" customWidth="1"/>
    <col min="1547" max="1792" width="8.33203125" style="849"/>
    <col min="1793" max="1793" width="63.6640625" style="849" customWidth="1"/>
    <col min="1794" max="1794" width="15.5546875" style="849" bestFit="1" customWidth="1"/>
    <col min="1795" max="1795" width="12.33203125" style="849" customWidth="1"/>
    <col min="1796" max="1796" width="13.109375" style="849" customWidth="1"/>
    <col min="1797" max="1797" width="12.6640625" style="849" customWidth="1"/>
    <col min="1798" max="1798" width="13.88671875" style="849" customWidth="1"/>
    <col min="1799" max="1799" width="11.33203125" style="849" customWidth="1"/>
    <col min="1800" max="1801" width="8.88671875" style="849" customWidth="1"/>
    <col min="1802" max="1802" width="13.5546875" style="849" customWidth="1"/>
    <col min="1803" max="2048" width="8.33203125" style="849"/>
    <col min="2049" max="2049" width="63.6640625" style="849" customWidth="1"/>
    <col min="2050" max="2050" width="15.5546875" style="849" bestFit="1" customWidth="1"/>
    <col min="2051" max="2051" width="12.33203125" style="849" customWidth="1"/>
    <col min="2052" max="2052" width="13.109375" style="849" customWidth="1"/>
    <col min="2053" max="2053" width="12.6640625" style="849" customWidth="1"/>
    <col min="2054" max="2054" width="13.88671875" style="849" customWidth="1"/>
    <col min="2055" max="2055" width="11.33203125" style="849" customWidth="1"/>
    <col min="2056" max="2057" width="8.88671875" style="849" customWidth="1"/>
    <col min="2058" max="2058" width="13.5546875" style="849" customWidth="1"/>
    <col min="2059" max="2304" width="8.33203125" style="849"/>
    <col min="2305" max="2305" width="63.6640625" style="849" customWidth="1"/>
    <col min="2306" max="2306" width="15.5546875" style="849" bestFit="1" customWidth="1"/>
    <col min="2307" max="2307" width="12.33203125" style="849" customWidth="1"/>
    <col min="2308" max="2308" width="13.109375" style="849" customWidth="1"/>
    <col min="2309" max="2309" width="12.6640625" style="849" customWidth="1"/>
    <col min="2310" max="2310" width="13.88671875" style="849" customWidth="1"/>
    <col min="2311" max="2311" width="11.33203125" style="849" customWidth="1"/>
    <col min="2312" max="2313" width="8.88671875" style="849" customWidth="1"/>
    <col min="2314" max="2314" width="13.5546875" style="849" customWidth="1"/>
    <col min="2315" max="2560" width="8.33203125" style="849"/>
    <col min="2561" max="2561" width="63.6640625" style="849" customWidth="1"/>
    <col min="2562" max="2562" width="15.5546875" style="849" bestFit="1" customWidth="1"/>
    <col min="2563" max="2563" width="12.33203125" style="849" customWidth="1"/>
    <col min="2564" max="2564" width="13.109375" style="849" customWidth="1"/>
    <col min="2565" max="2565" width="12.6640625" style="849" customWidth="1"/>
    <col min="2566" max="2566" width="13.88671875" style="849" customWidth="1"/>
    <col min="2567" max="2567" width="11.33203125" style="849" customWidth="1"/>
    <col min="2568" max="2569" width="8.88671875" style="849" customWidth="1"/>
    <col min="2570" max="2570" width="13.5546875" style="849" customWidth="1"/>
    <col min="2571" max="2816" width="8.33203125" style="849"/>
    <col min="2817" max="2817" width="63.6640625" style="849" customWidth="1"/>
    <col min="2818" max="2818" width="15.5546875" style="849" bestFit="1" customWidth="1"/>
    <col min="2819" max="2819" width="12.33203125" style="849" customWidth="1"/>
    <col min="2820" max="2820" width="13.109375" style="849" customWidth="1"/>
    <col min="2821" max="2821" width="12.6640625" style="849" customWidth="1"/>
    <col min="2822" max="2822" width="13.88671875" style="849" customWidth="1"/>
    <col min="2823" max="2823" width="11.33203125" style="849" customWidth="1"/>
    <col min="2824" max="2825" width="8.88671875" style="849" customWidth="1"/>
    <col min="2826" max="2826" width="13.5546875" style="849" customWidth="1"/>
    <col min="2827" max="3072" width="8.33203125" style="849"/>
    <col min="3073" max="3073" width="63.6640625" style="849" customWidth="1"/>
    <col min="3074" max="3074" width="15.5546875" style="849" bestFit="1" customWidth="1"/>
    <col min="3075" max="3075" width="12.33203125" style="849" customWidth="1"/>
    <col min="3076" max="3076" width="13.109375" style="849" customWidth="1"/>
    <col min="3077" max="3077" width="12.6640625" style="849" customWidth="1"/>
    <col min="3078" max="3078" width="13.88671875" style="849" customWidth="1"/>
    <col min="3079" max="3079" width="11.33203125" style="849" customWidth="1"/>
    <col min="3080" max="3081" width="8.88671875" style="849" customWidth="1"/>
    <col min="3082" max="3082" width="13.5546875" style="849" customWidth="1"/>
    <col min="3083" max="3328" width="8.33203125" style="849"/>
    <col min="3329" max="3329" width="63.6640625" style="849" customWidth="1"/>
    <col min="3330" max="3330" width="15.5546875" style="849" bestFit="1" customWidth="1"/>
    <col min="3331" max="3331" width="12.33203125" style="849" customWidth="1"/>
    <col min="3332" max="3332" width="13.109375" style="849" customWidth="1"/>
    <col min="3333" max="3333" width="12.6640625" style="849" customWidth="1"/>
    <col min="3334" max="3334" width="13.88671875" style="849" customWidth="1"/>
    <col min="3335" max="3335" width="11.33203125" style="849" customWidth="1"/>
    <col min="3336" max="3337" width="8.88671875" style="849" customWidth="1"/>
    <col min="3338" max="3338" width="13.5546875" style="849" customWidth="1"/>
    <col min="3339" max="3584" width="8.33203125" style="849"/>
    <col min="3585" max="3585" width="63.6640625" style="849" customWidth="1"/>
    <col min="3586" max="3586" width="15.5546875" style="849" bestFit="1" customWidth="1"/>
    <col min="3587" max="3587" width="12.33203125" style="849" customWidth="1"/>
    <col min="3588" max="3588" width="13.109375" style="849" customWidth="1"/>
    <col min="3589" max="3589" width="12.6640625" style="849" customWidth="1"/>
    <col min="3590" max="3590" width="13.88671875" style="849" customWidth="1"/>
    <col min="3591" max="3591" width="11.33203125" style="849" customWidth="1"/>
    <col min="3592" max="3593" width="8.88671875" style="849" customWidth="1"/>
    <col min="3594" max="3594" width="13.5546875" style="849" customWidth="1"/>
    <col min="3595" max="3840" width="8.33203125" style="849"/>
    <col min="3841" max="3841" width="63.6640625" style="849" customWidth="1"/>
    <col min="3842" max="3842" width="15.5546875" style="849" bestFit="1" customWidth="1"/>
    <col min="3843" max="3843" width="12.33203125" style="849" customWidth="1"/>
    <col min="3844" max="3844" width="13.109375" style="849" customWidth="1"/>
    <col min="3845" max="3845" width="12.6640625" style="849" customWidth="1"/>
    <col min="3846" max="3846" width="13.88671875" style="849" customWidth="1"/>
    <col min="3847" max="3847" width="11.33203125" style="849" customWidth="1"/>
    <col min="3848" max="3849" width="8.88671875" style="849" customWidth="1"/>
    <col min="3850" max="3850" width="13.5546875" style="849" customWidth="1"/>
    <col min="3851" max="4096" width="8.33203125" style="849"/>
    <col min="4097" max="4097" width="63.6640625" style="849" customWidth="1"/>
    <col min="4098" max="4098" width="15.5546875" style="849" bestFit="1" customWidth="1"/>
    <col min="4099" max="4099" width="12.33203125" style="849" customWidth="1"/>
    <col min="4100" max="4100" width="13.109375" style="849" customWidth="1"/>
    <col min="4101" max="4101" width="12.6640625" style="849" customWidth="1"/>
    <col min="4102" max="4102" width="13.88671875" style="849" customWidth="1"/>
    <col min="4103" max="4103" width="11.33203125" style="849" customWidth="1"/>
    <col min="4104" max="4105" width="8.88671875" style="849" customWidth="1"/>
    <col min="4106" max="4106" width="13.5546875" style="849" customWidth="1"/>
    <col min="4107" max="4352" width="8.33203125" style="849"/>
    <col min="4353" max="4353" width="63.6640625" style="849" customWidth="1"/>
    <col min="4354" max="4354" width="15.5546875" style="849" bestFit="1" customWidth="1"/>
    <col min="4355" max="4355" width="12.33203125" style="849" customWidth="1"/>
    <col min="4356" max="4356" width="13.109375" style="849" customWidth="1"/>
    <col min="4357" max="4357" width="12.6640625" style="849" customWidth="1"/>
    <col min="4358" max="4358" width="13.88671875" style="849" customWidth="1"/>
    <col min="4359" max="4359" width="11.33203125" style="849" customWidth="1"/>
    <col min="4360" max="4361" width="8.88671875" style="849" customWidth="1"/>
    <col min="4362" max="4362" width="13.5546875" style="849" customWidth="1"/>
    <col min="4363" max="4608" width="8.33203125" style="849"/>
    <col min="4609" max="4609" width="63.6640625" style="849" customWidth="1"/>
    <col min="4610" max="4610" width="15.5546875" style="849" bestFit="1" customWidth="1"/>
    <col min="4611" max="4611" width="12.33203125" style="849" customWidth="1"/>
    <col min="4612" max="4612" width="13.109375" style="849" customWidth="1"/>
    <col min="4613" max="4613" width="12.6640625" style="849" customWidth="1"/>
    <col min="4614" max="4614" width="13.88671875" style="849" customWidth="1"/>
    <col min="4615" max="4615" width="11.33203125" style="849" customWidth="1"/>
    <col min="4616" max="4617" width="8.88671875" style="849" customWidth="1"/>
    <col min="4618" max="4618" width="13.5546875" style="849" customWidth="1"/>
    <col min="4619" max="4864" width="8.33203125" style="849"/>
    <col min="4865" max="4865" width="63.6640625" style="849" customWidth="1"/>
    <col min="4866" max="4866" width="15.5546875" style="849" bestFit="1" customWidth="1"/>
    <col min="4867" max="4867" width="12.33203125" style="849" customWidth="1"/>
    <col min="4868" max="4868" width="13.109375" style="849" customWidth="1"/>
    <col min="4869" max="4869" width="12.6640625" style="849" customWidth="1"/>
    <col min="4870" max="4870" width="13.88671875" style="849" customWidth="1"/>
    <col min="4871" max="4871" width="11.33203125" style="849" customWidth="1"/>
    <col min="4872" max="4873" width="8.88671875" style="849" customWidth="1"/>
    <col min="4874" max="4874" width="13.5546875" style="849" customWidth="1"/>
    <col min="4875" max="5120" width="8.33203125" style="849"/>
    <col min="5121" max="5121" width="63.6640625" style="849" customWidth="1"/>
    <col min="5122" max="5122" width="15.5546875" style="849" bestFit="1" customWidth="1"/>
    <col min="5123" max="5123" width="12.33203125" style="849" customWidth="1"/>
    <col min="5124" max="5124" width="13.109375" style="849" customWidth="1"/>
    <col min="5125" max="5125" width="12.6640625" style="849" customWidth="1"/>
    <col min="5126" max="5126" width="13.88671875" style="849" customWidth="1"/>
    <col min="5127" max="5127" width="11.33203125" style="849" customWidth="1"/>
    <col min="5128" max="5129" width="8.88671875" style="849" customWidth="1"/>
    <col min="5130" max="5130" width="13.5546875" style="849" customWidth="1"/>
    <col min="5131" max="5376" width="8.33203125" style="849"/>
    <col min="5377" max="5377" width="63.6640625" style="849" customWidth="1"/>
    <col min="5378" max="5378" width="15.5546875" style="849" bestFit="1" customWidth="1"/>
    <col min="5379" max="5379" width="12.33203125" style="849" customWidth="1"/>
    <col min="5380" max="5380" width="13.109375" style="849" customWidth="1"/>
    <col min="5381" max="5381" width="12.6640625" style="849" customWidth="1"/>
    <col min="5382" max="5382" width="13.88671875" style="849" customWidth="1"/>
    <col min="5383" max="5383" width="11.33203125" style="849" customWidth="1"/>
    <col min="5384" max="5385" width="8.88671875" style="849" customWidth="1"/>
    <col min="5386" max="5386" width="13.5546875" style="849" customWidth="1"/>
    <col min="5387" max="5632" width="8.33203125" style="849"/>
    <col min="5633" max="5633" width="63.6640625" style="849" customWidth="1"/>
    <col min="5634" max="5634" width="15.5546875" style="849" bestFit="1" customWidth="1"/>
    <col min="5635" max="5635" width="12.33203125" style="849" customWidth="1"/>
    <col min="5636" max="5636" width="13.109375" style="849" customWidth="1"/>
    <col min="5637" max="5637" width="12.6640625" style="849" customWidth="1"/>
    <col min="5638" max="5638" width="13.88671875" style="849" customWidth="1"/>
    <col min="5639" max="5639" width="11.33203125" style="849" customWidth="1"/>
    <col min="5640" max="5641" width="8.88671875" style="849" customWidth="1"/>
    <col min="5642" max="5642" width="13.5546875" style="849" customWidth="1"/>
    <col min="5643" max="5888" width="8.33203125" style="849"/>
    <col min="5889" max="5889" width="63.6640625" style="849" customWidth="1"/>
    <col min="5890" max="5890" width="15.5546875" style="849" bestFit="1" customWidth="1"/>
    <col min="5891" max="5891" width="12.33203125" style="849" customWidth="1"/>
    <col min="5892" max="5892" width="13.109375" style="849" customWidth="1"/>
    <col min="5893" max="5893" width="12.6640625" style="849" customWidth="1"/>
    <col min="5894" max="5894" width="13.88671875" style="849" customWidth="1"/>
    <col min="5895" max="5895" width="11.33203125" style="849" customWidth="1"/>
    <col min="5896" max="5897" width="8.88671875" style="849" customWidth="1"/>
    <col min="5898" max="5898" width="13.5546875" style="849" customWidth="1"/>
    <col min="5899" max="6144" width="8.33203125" style="849"/>
    <col min="6145" max="6145" width="63.6640625" style="849" customWidth="1"/>
    <col min="6146" max="6146" width="15.5546875" style="849" bestFit="1" customWidth="1"/>
    <col min="6147" max="6147" width="12.33203125" style="849" customWidth="1"/>
    <col min="6148" max="6148" width="13.109375" style="849" customWidth="1"/>
    <col min="6149" max="6149" width="12.6640625" style="849" customWidth="1"/>
    <col min="6150" max="6150" width="13.88671875" style="849" customWidth="1"/>
    <col min="6151" max="6151" width="11.33203125" style="849" customWidth="1"/>
    <col min="6152" max="6153" width="8.88671875" style="849" customWidth="1"/>
    <col min="6154" max="6154" width="13.5546875" style="849" customWidth="1"/>
    <col min="6155" max="6400" width="8.33203125" style="849"/>
    <col min="6401" max="6401" width="63.6640625" style="849" customWidth="1"/>
    <col min="6402" max="6402" width="15.5546875" style="849" bestFit="1" customWidth="1"/>
    <col min="6403" max="6403" width="12.33203125" style="849" customWidth="1"/>
    <col min="6404" max="6404" width="13.109375" style="849" customWidth="1"/>
    <col min="6405" max="6405" width="12.6640625" style="849" customWidth="1"/>
    <col min="6406" max="6406" width="13.88671875" style="849" customWidth="1"/>
    <col min="6407" max="6407" width="11.33203125" style="849" customWidth="1"/>
    <col min="6408" max="6409" width="8.88671875" style="849" customWidth="1"/>
    <col min="6410" max="6410" width="13.5546875" style="849" customWidth="1"/>
    <col min="6411" max="6656" width="8.33203125" style="849"/>
    <col min="6657" max="6657" width="63.6640625" style="849" customWidth="1"/>
    <col min="6658" max="6658" width="15.5546875" style="849" bestFit="1" customWidth="1"/>
    <col min="6659" max="6659" width="12.33203125" style="849" customWidth="1"/>
    <col min="6660" max="6660" width="13.109375" style="849" customWidth="1"/>
    <col min="6661" max="6661" width="12.6640625" style="849" customWidth="1"/>
    <col min="6662" max="6662" width="13.88671875" style="849" customWidth="1"/>
    <col min="6663" max="6663" width="11.33203125" style="849" customWidth="1"/>
    <col min="6664" max="6665" width="8.88671875" style="849" customWidth="1"/>
    <col min="6666" max="6666" width="13.5546875" style="849" customWidth="1"/>
    <col min="6667" max="6912" width="8.33203125" style="849"/>
    <col min="6913" max="6913" width="63.6640625" style="849" customWidth="1"/>
    <col min="6914" max="6914" width="15.5546875" style="849" bestFit="1" customWidth="1"/>
    <col min="6915" max="6915" width="12.33203125" style="849" customWidth="1"/>
    <col min="6916" max="6916" width="13.109375" style="849" customWidth="1"/>
    <col min="6917" max="6917" width="12.6640625" style="849" customWidth="1"/>
    <col min="6918" max="6918" width="13.88671875" style="849" customWidth="1"/>
    <col min="6919" max="6919" width="11.33203125" style="849" customWidth="1"/>
    <col min="6920" max="6921" width="8.88671875" style="849" customWidth="1"/>
    <col min="6922" max="6922" width="13.5546875" style="849" customWidth="1"/>
    <col min="6923" max="7168" width="8.33203125" style="849"/>
    <col min="7169" max="7169" width="63.6640625" style="849" customWidth="1"/>
    <col min="7170" max="7170" width="15.5546875" style="849" bestFit="1" customWidth="1"/>
    <col min="7171" max="7171" width="12.33203125" style="849" customWidth="1"/>
    <col min="7172" max="7172" width="13.109375" style="849" customWidth="1"/>
    <col min="7173" max="7173" width="12.6640625" style="849" customWidth="1"/>
    <col min="7174" max="7174" width="13.88671875" style="849" customWidth="1"/>
    <col min="7175" max="7175" width="11.33203125" style="849" customWidth="1"/>
    <col min="7176" max="7177" width="8.88671875" style="849" customWidth="1"/>
    <col min="7178" max="7178" width="13.5546875" style="849" customWidth="1"/>
    <col min="7179" max="7424" width="8.33203125" style="849"/>
    <col min="7425" max="7425" width="63.6640625" style="849" customWidth="1"/>
    <col min="7426" max="7426" width="15.5546875" style="849" bestFit="1" customWidth="1"/>
    <col min="7427" max="7427" width="12.33203125" style="849" customWidth="1"/>
    <col min="7428" max="7428" width="13.109375" style="849" customWidth="1"/>
    <col min="7429" max="7429" width="12.6640625" style="849" customWidth="1"/>
    <col min="7430" max="7430" width="13.88671875" style="849" customWidth="1"/>
    <col min="7431" max="7431" width="11.33203125" style="849" customWidth="1"/>
    <col min="7432" max="7433" width="8.88671875" style="849" customWidth="1"/>
    <col min="7434" max="7434" width="13.5546875" style="849" customWidth="1"/>
    <col min="7435" max="7680" width="8.33203125" style="849"/>
    <col min="7681" max="7681" width="63.6640625" style="849" customWidth="1"/>
    <col min="7682" max="7682" width="15.5546875" style="849" bestFit="1" customWidth="1"/>
    <col min="7683" max="7683" width="12.33203125" style="849" customWidth="1"/>
    <col min="7684" max="7684" width="13.109375" style="849" customWidth="1"/>
    <col min="7685" max="7685" width="12.6640625" style="849" customWidth="1"/>
    <col min="7686" max="7686" width="13.88671875" style="849" customWidth="1"/>
    <col min="7687" max="7687" width="11.33203125" style="849" customWidth="1"/>
    <col min="7688" max="7689" width="8.88671875" style="849" customWidth="1"/>
    <col min="7690" max="7690" width="13.5546875" style="849" customWidth="1"/>
    <col min="7691" max="7936" width="8.33203125" style="849"/>
    <col min="7937" max="7937" width="63.6640625" style="849" customWidth="1"/>
    <col min="7938" max="7938" width="15.5546875" style="849" bestFit="1" customWidth="1"/>
    <col min="7939" max="7939" width="12.33203125" style="849" customWidth="1"/>
    <col min="7940" max="7940" width="13.109375" style="849" customWidth="1"/>
    <col min="7941" max="7941" width="12.6640625" style="849" customWidth="1"/>
    <col min="7942" max="7942" width="13.88671875" style="849" customWidth="1"/>
    <col min="7943" max="7943" width="11.33203125" style="849" customWidth="1"/>
    <col min="7944" max="7945" width="8.88671875" style="849" customWidth="1"/>
    <col min="7946" max="7946" width="13.5546875" style="849" customWidth="1"/>
    <col min="7947" max="8192" width="8.33203125" style="849"/>
    <col min="8193" max="8193" width="63.6640625" style="849" customWidth="1"/>
    <col min="8194" max="8194" width="15.5546875" style="849" bestFit="1" customWidth="1"/>
    <col min="8195" max="8195" width="12.33203125" style="849" customWidth="1"/>
    <col min="8196" max="8196" width="13.109375" style="849" customWidth="1"/>
    <col min="8197" max="8197" width="12.6640625" style="849" customWidth="1"/>
    <col min="8198" max="8198" width="13.88671875" style="849" customWidth="1"/>
    <col min="8199" max="8199" width="11.33203125" style="849" customWidth="1"/>
    <col min="8200" max="8201" width="8.88671875" style="849" customWidth="1"/>
    <col min="8202" max="8202" width="13.5546875" style="849" customWidth="1"/>
    <col min="8203" max="8448" width="8.33203125" style="849"/>
    <col min="8449" max="8449" width="63.6640625" style="849" customWidth="1"/>
    <col min="8450" max="8450" width="15.5546875" style="849" bestFit="1" customWidth="1"/>
    <col min="8451" max="8451" width="12.33203125" style="849" customWidth="1"/>
    <col min="8452" max="8452" width="13.109375" style="849" customWidth="1"/>
    <col min="8453" max="8453" width="12.6640625" style="849" customWidth="1"/>
    <col min="8454" max="8454" width="13.88671875" style="849" customWidth="1"/>
    <col min="8455" max="8455" width="11.33203125" style="849" customWidth="1"/>
    <col min="8456" max="8457" width="8.88671875" style="849" customWidth="1"/>
    <col min="8458" max="8458" width="13.5546875" style="849" customWidth="1"/>
    <col min="8459" max="8704" width="8.33203125" style="849"/>
    <col min="8705" max="8705" width="63.6640625" style="849" customWidth="1"/>
    <col min="8706" max="8706" width="15.5546875" style="849" bestFit="1" customWidth="1"/>
    <col min="8707" max="8707" width="12.33203125" style="849" customWidth="1"/>
    <col min="8708" max="8708" width="13.109375" style="849" customWidth="1"/>
    <col min="8709" max="8709" width="12.6640625" style="849" customWidth="1"/>
    <col min="8710" max="8710" width="13.88671875" style="849" customWidth="1"/>
    <col min="8711" max="8711" width="11.33203125" style="849" customWidth="1"/>
    <col min="8712" max="8713" width="8.88671875" style="849" customWidth="1"/>
    <col min="8714" max="8714" width="13.5546875" style="849" customWidth="1"/>
    <col min="8715" max="8960" width="8.33203125" style="849"/>
    <col min="8961" max="8961" width="63.6640625" style="849" customWidth="1"/>
    <col min="8962" max="8962" width="15.5546875" style="849" bestFit="1" customWidth="1"/>
    <col min="8963" max="8963" width="12.33203125" style="849" customWidth="1"/>
    <col min="8964" max="8964" width="13.109375" style="849" customWidth="1"/>
    <col min="8965" max="8965" width="12.6640625" style="849" customWidth="1"/>
    <col min="8966" max="8966" width="13.88671875" style="849" customWidth="1"/>
    <col min="8967" max="8967" width="11.33203125" style="849" customWidth="1"/>
    <col min="8968" max="8969" width="8.88671875" style="849" customWidth="1"/>
    <col min="8970" max="8970" width="13.5546875" style="849" customWidth="1"/>
    <col min="8971" max="9216" width="8.33203125" style="849"/>
    <col min="9217" max="9217" width="63.6640625" style="849" customWidth="1"/>
    <col min="9218" max="9218" width="15.5546875" style="849" bestFit="1" customWidth="1"/>
    <col min="9219" max="9219" width="12.33203125" style="849" customWidth="1"/>
    <col min="9220" max="9220" width="13.109375" style="849" customWidth="1"/>
    <col min="9221" max="9221" width="12.6640625" style="849" customWidth="1"/>
    <col min="9222" max="9222" width="13.88671875" style="849" customWidth="1"/>
    <col min="9223" max="9223" width="11.33203125" style="849" customWidth="1"/>
    <col min="9224" max="9225" width="8.88671875" style="849" customWidth="1"/>
    <col min="9226" max="9226" width="13.5546875" style="849" customWidth="1"/>
    <col min="9227" max="9472" width="8.33203125" style="849"/>
    <col min="9473" max="9473" width="63.6640625" style="849" customWidth="1"/>
    <col min="9474" max="9474" width="15.5546875" style="849" bestFit="1" customWidth="1"/>
    <col min="9475" max="9475" width="12.33203125" style="849" customWidth="1"/>
    <col min="9476" max="9476" width="13.109375" style="849" customWidth="1"/>
    <col min="9477" max="9477" width="12.6640625" style="849" customWidth="1"/>
    <col min="9478" max="9478" width="13.88671875" style="849" customWidth="1"/>
    <col min="9479" max="9479" width="11.33203125" style="849" customWidth="1"/>
    <col min="9480" max="9481" width="8.88671875" style="849" customWidth="1"/>
    <col min="9482" max="9482" width="13.5546875" style="849" customWidth="1"/>
    <col min="9483" max="9728" width="8.33203125" style="849"/>
    <col min="9729" max="9729" width="63.6640625" style="849" customWidth="1"/>
    <col min="9730" max="9730" width="15.5546875" style="849" bestFit="1" customWidth="1"/>
    <col min="9731" max="9731" width="12.33203125" style="849" customWidth="1"/>
    <col min="9732" max="9732" width="13.109375" style="849" customWidth="1"/>
    <col min="9733" max="9733" width="12.6640625" style="849" customWidth="1"/>
    <col min="9734" max="9734" width="13.88671875" style="849" customWidth="1"/>
    <col min="9735" max="9735" width="11.33203125" style="849" customWidth="1"/>
    <col min="9736" max="9737" width="8.88671875" style="849" customWidth="1"/>
    <col min="9738" max="9738" width="13.5546875" style="849" customWidth="1"/>
    <col min="9739" max="9984" width="8.33203125" style="849"/>
    <col min="9985" max="9985" width="63.6640625" style="849" customWidth="1"/>
    <col min="9986" max="9986" width="15.5546875" style="849" bestFit="1" customWidth="1"/>
    <col min="9987" max="9987" width="12.33203125" style="849" customWidth="1"/>
    <col min="9988" max="9988" width="13.109375" style="849" customWidth="1"/>
    <col min="9989" max="9989" width="12.6640625" style="849" customWidth="1"/>
    <col min="9990" max="9990" width="13.88671875" style="849" customWidth="1"/>
    <col min="9991" max="9991" width="11.33203125" style="849" customWidth="1"/>
    <col min="9992" max="9993" width="8.88671875" style="849" customWidth="1"/>
    <col min="9994" max="9994" width="13.5546875" style="849" customWidth="1"/>
    <col min="9995" max="10240" width="8.33203125" style="849"/>
    <col min="10241" max="10241" width="63.6640625" style="849" customWidth="1"/>
    <col min="10242" max="10242" width="15.5546875" style="849" bestFit="1" customWidth="1"/>
    <col min="10243" max="10243" width="12.33203125" style="849" customWidth="1"/>
    <col min="10244" max="10244" width="13.109375" style="849" customWidth="1"/>
    <col min="10245" max="10245" width="12.6640625" style="849" customWidth="1"/>
    <col min="10246" max="10246" width="13.88671875" style="849" customWidth="1"/>
    <col min="10247" max="10247" width="11.33203125" style="849" customWidth="1"/>
    <col min="10248" max="10249" width="8.88671875" style="849" customWidth="1"/>
    <col min="10250" max="10250" width="13.5546875" style="849" customWidth="1"/>
    <col min="10251" max="10496" width="8.33203125" style="849"/>
    <col min="10497" max="10497" width="63.6640625" style="849" customWidth="1"/>
    <col min="10498" max="10498" width="15.5546875" style="849" bestFit="1" customWidth="1"/>
    <col min="10499" max="10499" width="12.33203125" style="849" customWidth="1"/>
    <col min="10500" max="10500" width="13.109375" style="849" customWidth="1"/>
    <col min="10501" max="10501" width="12.6640625" style="849" customWidth="1"/>
    <col min="10502" max="10502" width="13.88671875" style="849" customWidth="1"/>
    <col min="10503" max="10503" width="11.33203125" style="849" customWidth="1"/>
    <col min="10504" max="10505" width="8.88671875" style="849" customWidth="1"/>
    <col min="10506" max="10506" width="13.5546875" style="849" customWidth="1"/>
    <col min="10507" max="10752" width="8.33203125" style="849"/>
    <col min="10753" max="10753" width="63.6640625" style="849" customWidth="1"/>
    <col min="10754" max="10754" width="15.5546875" style="849" bestFit="1" customWidth="1"/>
    <col min="10755" max="10755" width="12.33203125" style="849" customWidth="1"/>
    <col min="10756" max="10756" width="13.109375" style="849" customWidth="1"/>
    <col min="10757" max="10757" width="12.6640625" style="849" customWidth="1"/>
    <col min="10758" max="10758" width="13.88671875" style="849" customWidth="1"/>
    <col min="10759" max="10759" width="11.33203125" style="849" customWidth="1"/>
    <col min="10760" max="10761" width="8.88671875" style="849" customWidth="1"/>
    <col min="10762" max="10762" width="13.5546875" style="849" customWidth="1"/>
    <col min="10763" max="11008" width="8.33203125" style="849"/>
    <col min="11009" max="11009" width="63.6640625" style="849" customWidth="1"/>
    <col min="11010" max="11010" width="15.5546875" style="849" bestFit="1" customWidth="1"/>
    <col min="11011" max="11011" width="12.33203125" style="849" customWidth="1"/>
    <col min="11012" max="11012" width="13.109375" style="849" customWidth="1"/>
    <col min="11013" max="11013" width="12.6640625" style="849" customWidth="1"/>
    <col min="11014" max="11014" width="13.88671875" style="849" customWidth="1"/>
    <col min="11015" max="11015" width="11.33203125" style="849" customWidth="1"/>
    <col min="11016" max="11017" width="8.88671875" style="849" customWidth="1"/>
    <col min="11018" max="11018" width="13.5546875" style="849" customWidth="1"/>
    <col min="11019" max="11264" width="8.33203125" style="849"/>
    <col min="11265" max="11265" width="63.6640625" style="849" customWidth="1"/>
    <col min="11266" max="11266" width="15.5546875" style="849" bestFit="1" customWidth="1"/>
    <col min="11267" max="11267" width="12.33203125" style="849" customWidth="1"/>
    <col min="11268" max="11268" width="13.109375" style="849" customWidth="1"/>
    <col min="11269" max="11269" width="12.6640625" style="849" customWidth="1"/>
    <col min="11270" max="11270" width="13.88671875" style="849" customWidth="1"/>
    <col min="11271" max="11271" width="11.33203125" style="849" customWidth="1"/>
    <col min="11272" max="11273" width="8.88671875" style="849" customWidth="1"/>
    <col min="11274" max="11274" width="13.5546875" style="849" customWidth="1"/>
    <col min="11275" max="11520" width="8.33203125" style="849"/>
    <col min="11521" max="11521" width="63.6640625" style="849" customWidth="1"/>
    <col min="11522" max="11522" width="15.5546875" style="849" bestFit="1" customWidth="1"/>
    <col min="11523" max="11523" width="12.33203125" style="849" customWidth="1"/>
    <col min="11524" max="11524" width="13.109375" style="849" customWidth="1"/>
    <col min="11525" max="11525" width="12.6640625" style="849" customWidth="1"/>
    <col min="11526" max="11526" width="13.88671875" style="849" customWidth="1"/>
    <col min="11527" max="11527" width="11.33203125" style="849" customWidth="1"/>
    <col min="11528" max="11529" width="8.88671875" style="849" customWidth="1"/>
    <col min="11530" max="11530" width="13.5546875" style="849" customWidth="1"/>
    <col min="11531" max="11776" width="8.33203125" style="849"/>
    <col min="11777" max="11777" width="63.6640625" style="849" customWidth="1"/>
    <col min="11778" max="11778" width="15.5546875" style="849" bestFit="1" customWidth="1"/>
    <col min="11779" max="11779" width="12.33203125" style="849" customWidth="1"/>
    <col min="11780" max="11780" width="13.109375" style="849" customWidth="1"/>
    <col min="11781" max="11781" width="12.6640625" style="849" customWidth="1"/>
    <col min="11782" max="11782" width="13.88671875" style="849" customWidth="1"/>
    <col min="11783" max="11783" width="11.33203125" style="849" customWidth="1"/>
    <col min="11784" max="11785" width="8.88671875" style="849" customWidth="1"/>
    <col min="11786" max="11786" width="13.5546875" style="849" customWidth="1"/>
    <col min="11787" max="12032" width="8.33203125" style="849"/>
    <col min="12033" max="12033" width="63.6640625" style="849" customWidth="1"/>
    <col min="12034" max="12034" width="15.5546875" style="849" bestFit="1" customWidth="1"/>
    <col min="12035" max="12035" width="12.33203125" style="849" customWidth="1"/>
    <col min="12036" max="12036" width="13.109375" style="849" customWidth="1"/>
    <col min="12037" max="12037" width="12.6640625" style="849" customWidth="1"/>
    <col min="12038" max="12038" width="13.88671875" style="849" customWidth="1"/>
    <col min="12039" max="12039" width="11.33203125" style="849" customWidth="1"/>
    <col min="12040" max="12041" width="8.88671875" style="849" customWidth="1"/>
    <col min="12042" max="12042" width="13.5546875" style="849" customWidth="1"/>
    <col min="12043" max="12288" width="8.33203125" style="849"/>
    <col min="12289" max="12289" width="63.6640625" style="849" customWidth="1"/>
    <col min="12290" max="12290" width="15.5546875" style="849" bestFit="1" customWidth="1"/>
    <col min="12291" max="12291" width="12.33203125" style="849" customWidth="1"/>
    <col min="12292" max="12292" width="13.109375" style="849" customWidth="1"/>
    <col min="12293" max="12293" width="12.6640625" style="849" customWidth="1"/>
    <col min="12294" max="12294" width="13.88671875" style="849" customWidth="1"/>
    <col min="12295" max="12295" width="11.33203125" style="849" customWidth="1"/>
    <col min="12296" max="12297" width="8.88671875" style="849" customWidth="1"/>
    <col min="12298" max="12298" width="13.5546875" style="849" customWidth="1"/>
    <col min="12299" max="12544" width="8.33203125" style="849"/>
    <col min="12545" max="12545" width="63.6640625" style="849" customWidth="1"/>
    <col min="12546" max="12546" width="15.5546875" style="849" bestFit="1" customWidth="1"/>
    <col min="12547" max="12547" width="12.33203125" style="849" customWidth="1"/>
    <col min="12548" max="12548" width="13.109375" style="849" customWidth="1"/>
    <col min="12549" max="12549" width="12.6640625" style="849" customWidth="1"/>
    <col min="12550" max="12550" width="13.88671875" style="849" customWidth="1"/>
    <col min="12551" max="12551" width="11.33203125" style="849" customWidth="1"/>
    <col min="12552" max="12553" width="8.88671875" style="849" customWidth="1"/>
    <col min="12554" max="12554" width="13.5546875" style="849" customWidth="1"/>
    <col min="12555" max="12800" width="8.33203125" style="849"/>
    <col min="12801" max="12801" width="63.6640625" style="849" customWidth="1"/>
    <col min="12802" max="12802" width="15.5546875" style="849" bestFit="1" customWidth="1"/>
    <col min="12803" max="12803" width="12.33203125" style="849" customWidth="1"/>
    <col min="12804" max="12804" width="13.109375" style="849" customWidth="1"/>
    <col min="12805" max="12805" width="12.6640625" style="849" customWidth="1"/>
    <col min="12806" max="12806" width="13.88671875" style="849" customWidth="1"/>
    <col min="12807" max="12807" width="11.33203125" style="849" customWidth="1"/>
    <col min="12808" max="12809" width="8.88671875" style="849" customWidth="1"/>
    <col min="12810" max="12810" width="13.5546875" style="849" customWidth="1"/>
    <col min="12811" max="13056" width="8.33203125" style="849"/>
    <col min="13057" max="13057" width="63.6640625" style="849" customWidth="1"/>
    <col min="13058" max="13058" width="15.5546875" style="849" bestFit="1" customWidth="1"/>
    <col min="13059" max="13059" width="12.33203125" style="849" customWidth="1"/>
    <col min="13060" max="13060" width="13.109375" style="849" customWidth="1"/>
    <col min="13061" max="13061" width="12.6640625" style="849" customWidth="1"/>
    <col min="13062" max="13062" width="13.88671875" style="849" customWidth="1"/>
    <col min="13063" max="13063" width="11.33203125" style="849" customWidth="1"/>
    <col min="13064" max="13065" width="8.88671875" style="849" customWidth="1"/>
    <col min="13066" max="13066" width="13.5546875" style="849" customWidth="1"/>
    <col min="13067" max="13312" width="8.33203125" style="849"/>
    <col min="13313" max="13313" width="63.6640625" style="849" customWidth="1"/>
    <col min="13314" max="13314" width="15.5546875" style="849" bestFit="1" customWidth="1"/>
    <col min="13315" max="13315" width="12.33203125" style="849" customWidth="1"/>
    <col min="13316" max="13316" width="13.109375" style="849" customWidth="1"/>
    <col min="13317" max="13317" width="12.6640625" style="849" customWidth="1"/>
    <col min="13318" max="13318" width="13.88671875" style="849" customWidth="1"/>
    <col min="13319" max="13319" width="11.33203125" style="849" customWidth="1"/>
    <col min="13320" max="13321" width="8.88671875" style="849" customWidth="1"/>
    <col min="13322" max="13322" width="13.5546875" style="849" customWidth="1"/>
    <col min="13323" max="13568" width="8.33203125" style="849"/>
    <col min="13569" max="13569" width="63.6640625" style="849" customWidth="1"/>
    <col min="13570" max="13570" width="15.5546875" style="849" bestFit="1" customWidth="1"/>
    <col min="13571" max="13571" width="12.33203125" style="849" customWidth="1"/>
    <col min="13572" max="13572" width="13.109375" style="849" customWidth="1"/>
    <col min="13573" max="13573" width="12.6640625" style="849" customWidth="1"/>
    <col min="13574" max="13574" width="13.88671875" style="849" customWidth="1"/>
    <col min="13575" max="13575" width="11.33203125" style="849" customWidth="1"/>
    <col min="13576" max="13577" width="8.88671875" style="849" customWidth="1"/>
    <col min="13578" max="13578" width="13.5546875" style="849" customWidth="1"/>
    <col min="13579" max="13824" width="8.33203125" style="849"/>
    <col min="13825" max="13825" width="63.6640625" style="849" customWidth="1"/>
    <col min="13826" max="13826" width="15.5546875" style="849" bestFit="1" customWidth="1"/>
    <col min="13827" max="13827" width="12.33203125" style="849" customWidth="1"/>
    <col min="13828" max="13828" width="13.109375" style="849" customWidth="1"/>
    <col min="13829" max="13829" width="12.6640625" style="849" customWidth="1"/>
    <col min="13830" max="13830" width="13.88671875" style="849" customWidth="1"/>
    <col min="13831" max="13831" width="11.33203125" style="849" customWidth="1"/>
    <col min="13832" max="13833" width="8.88671875" style="849" customWidth="1"/>
    <col min="13834" max="13834" width="13.5546875" style="849" customWidth="1"/>
    <col min="13835" max="14080" width="8.33203125" style="849"/>
    <col min="14081" max="14081" width="63.6640625" style="849" customWidth="1"/>
    <col min="14082" max="14082" width="15.5546875" style="849" bestFit="1" customWidth="1"/>
    <col min="14083" max="14083" width="12.33203125" style="849" customWidth="1"/>
    <col min="14084" max="14084" width="13.109375" style="849" customWidth="1"/>
    <col min="14085" max="14085" width="12.6640625" style="849" customWidth="1"/>
    <col min="14086" max="14086" width="13.88671875" style="849" customWidth="1"/>
    <col min="14087" max="14087" width="11.33203125" style="849" customWidth="1"/>
    <col min="14088" max="14089" width="8.88671875" style="849" customWidth="1"/>
    <col min="14090" max="14090" width="13.5546875" style="849" customWidth="1"/>
    <col min="14091" max="14336" width="8.33203125" style="849"/>
    <col min="14337" max="14337" width="63.6640625" style="849" customWidth="1"/>
    <col min="14338" max="14338" width="15.5546875" style="849" bestFit="1" customWidth="1"/>
    <col min="14339" max="14339" width="12.33203125" style="849" customWidth="1"/>
    <col min="14340" max="14340" width="13.109375" style="849" customWidth="1"/>
    <col min="14341" max="14341" width="12.6640625" style="849" customWidth="1"/>
    <col min="14342" max="14342" width="13.88671875" style="849" customWidth="1"/>
    <col min="14343" max="14343" width="11.33203125" style="849" customWidth="1"/>
    <col min="14344" max="14345" width="8.88671875" style="849" customWidth="1"/>
    <col min="14346" max="14346" width="13.5546875" style="849" customWidth="1"/>
    <col min="14347" max="14592" width="8.33203125" style="849"/>
    <col min="14593" max="14593" width="63.6640625" style="849" customWidth="1"/>
    <col min="14594" max="14594" width="15.5546875" style="849" bestFit="1" customWidth="1"/>
    <col min="14595" max="14595" width="12.33203125" style="849" customWidth="1"/>
    <col min="14596" max="14596" width="13.109375" style="849" customWidth="1"/>
    <col min="14597" max="14597" width="12.6640625" style="849" customWidth="1"/>
    <col min="14598" max="14598" width="13.88671875" style="849" customWidth="1"/>
    <col min="14599" max="14599" width="11.33203125" style="849" customWidth="1"/>
    <col min="14600" max="14601" width="8.88671875" style="849" customWidth="1"/>
    <col min="14602" max="14602" width="13.5546875" style="849" customWidth="1"/>
    <col min="14603" max="14848" width="8.33203125" style="849"/>
    <col min="14849" max="14849" width="63.6640625" style="849" customWidth="1"/>
    <col min="14850" max="14850" width="15.5546875" style="849" bestFit="1" customWidth="1"/>
    <col min="14851" max="14851" width="12.33203125" style="849" customWidth="1"/>
    <col min="14852" max="14852" width="13.109375" style="849" customWidth="1"/>
    <col min="14853" max="14853" width="12.6640625" style="849" customWidth="1"/>
    <col min="14854" max="14854" width="13.88671875" style="849" customWidth="1"/>
    <col min="14855" max="14855" width="11.33203125" style="849" customWidth="1"/>
    <col min="14856" max="14857" width="8.88671875" style="849" customWidth="1"/>
    <col min="14858" max="14858" width="13.5546875" style="849" customWidth="1"/>
    <col min="14859" max="15104" width="8.33203125" style="849"/>
    <col min="15105" max="15105" width="63.6640625" style="849" customWidth="1"/>
    <col min="15106" max="15106" width="15.5546875" style="849" bestFit="1" customWidth="1"/>
    <col min="15107" max="15107" width="12.33203125" style="849" customWidth="1"/>
    <col min="15108" max="15108" width="13.109375" style="849" customWidth="1"/>
    <col min="15109" max="15109" width="12.6640625" style="849" customWidth="1"/>
    <col min="15110" max="15110" width="13.88671875" style="849" customWidth="1"/>
    <col min="15111" max="15111" width="11.33203125" style="849" customWidth="1"/>
    <col min="15112" max="15113" width="8.88671875" style="849" customWidth="1"/>
    <col min="15114" max="15114" width="13.5546875" style="849" customWidth="1"/>
    <col min="15115" max="15360" width="8.33203125" style="849"/>
    <col min="15361" max="15361" width="63.6640625" style="849" customWidth="1"/>
    <col min="15362" max="15362" width="15.5546875" style="849" bestFit="1" customWidth="1"/>
    <col min="15363" max="15363" width="12.33203125" style="849" customWidth="1"/>
    <col min="15364" max="15364" width="13.109375" style="849" customWidth="1"/>
    <col min="15365" max="15365" width="12.6640625" style="849" customWidth="1"/>
    <col min="15366" max="15366" width="13.88671875" style="849" customWidth="1"/>
    <col min="15367" max="15367" width="11.33203125" style="849" customWidth="1"/>
    <col min="15368" max="15369" width="8.88671875" style="849" customWidth="1"/>
    <col min="15370" max="15370" width="13.5546875" style="849" customWidth="1"/>
    <col min="15371" max="15616" width="8.33203125" style="849"/>
    <col min="15617" max="15617" width="63.6640625" style="849" customWidth="1"/>
    <col min="15618" max="15618" width="15.5546875" style="849" bestFit="1" customWidth="1"/>
    <col min="15619" max="15619" width="12.33203125" style="849" customWidth="1"/>
    <col min="15620" max="15620" width="13.109375" style="849" customWidth="1"/>
    <col min="15621" max="15621" width="12.6640625" style="849" customWidth="1"/>
    <col min="15622" max="15622" width="13.88671875" style="849" customWidth="1"/>
    <col min="15623" max="15623" width="11.33203125" style="849" customWidth="1"/>
    <col min="15624" max="15625" width="8.88671875" style="849" customWidth="1"/>
    <col min="15626" max="15626" width="13.5546875" style="849" customWidth="1"/>
    <col min="15627" max="15872" width="8.33203125" style="849"/>
    <col min="15873" max="15873" width="63.6640625" style="849" customWidth="1"/>
    <col min="15874" max="15874" width="15.5546875" style="849" bestFit="1" customWidth="1"/>
    <col min="15875" max="15875" width="12.33203125" style="849" customWidth="1"/>
    <col min="15876" max="15876" width="13.109375" style="849" customWidth="1"/>
    <col min="15877" max="15877" width="12.6640625" style="849" customWidth="1"/>
    <col min="15878" max="15878" width="13.88671875" style="849" customWidth="1"/>
    <col min="15879" max="15879" width="11.33203125" style="849" customWidth="1"/>
    <col min="15880" max="15881" width="8.88671875" style="849" customWidth="1"/>
    <col min="15882" max="15882" width="13.5546875" style="849" customWidth="1"/>
    <col min="15883" max="16128" width="8.33203125" style="849"/>
    <col min="16129" max="16129" width="63.6640625" style="849" customWidth="1"/>
    <col min="16130" max="16130" width="15.5546875" style="849" bestFit="1" customWidth="1"/>
    <col min="16131" max="16131" width="12.33203125" style="849" customWidth="1"/>
    <col min="16132" max="16132" width="13.109375" style="849" customWidth="1"/>
    <col min="16133" max="16133" width="12.6640625" style="849" customWidth="1"/>
    <col min="16134" max="16134" width="13.88671875" style="849" customWidth="1"/>
    <col min="16135" max="16135" width="11.33203125" style="849" customWidth="1"/>
    <col min="16136" max="16137" width="8.88671875" style="849" customWidth="1"/>
    <col min="16138" max="16138" width="13.5546875" style="849" customWidth="1"/>
    <col min="16139" max="16384" width="8.33203125" style="849"/>
  </cols>
  <sheetData>
    <row r="1" spans="1:10" s="843" customFormat="1" ht="41.4">
      <c r="A1" s="879" t="s">
        <v>299</v>
      </c>
      <c r="B1" s="879" t="s">
        <v>300</v>
      </c>
      <c r="C1" s="880" t="s">
        <v>301</v>
      </c>
      <c r="D1" s="880" t="s">
        <v>302</v>
      </c>
      <c r="E1" s="881" t="s">
        <v>303</v>
      </c>
      <c r="F1" s="881" t="s">
        <v>304</v>
      </c>
      <c r="G1" s="881" t="s">
        <v>305</v>
      </c>
      <c r="H1" s="881" t="s">
        <v>306</v>
      </c>
      <c r="I1" s="881" t="s">
        <v>307</v>
      </c>
      <c r="J1" s="881" t="s">
        <v>308</v>
      </c>
    </row>
    <row r="2" spans="1:10">
      <c r="A2" s="857" t="s">
        <v>309</v>
      </c>
      <c r="B2" s="845" t="s">
        <v>169</v>
      </c>
      <c r="C2" s="846">
        <v>2767114.6</v>
      </c>
      <c r="D2" s="846">
        <v>1098936.8799999999</v>
      </c>
      <c r="E2" s="847"/>
      <c r="F2" s="847"/>
      <c r="G2" s="847"/>
      <c r="H2" s="847"/>
      <c r="I2" s="847"/>
      <c r="J2" s="848">
        <f t="shared" ref="J2:J65" si="0">SUM(C2:I2)</f>
        <v>3866051.48</v>
      </c>
    </row>
    <row r="3" spans="1:10">
      <c r="A3" s="857" t="s">
        <v>310</v>
      </c>
      <c r="B3" s="845" t="s">
        <v>139</v>
      </c>
      <c r="C3" s="846">
        <v>2399187.34</v>
      </c>
      <c r="D3" s="846">
        <v>809514.7</v>
      </c>
      <c r="E3" s="848">
        <v>4720360.3</v>
      </c>
      <c r="F3" s="848">
        <v>2710255.37</v>
      </c>
      <c r="G3" s="847"/>
      <c r="H3" s="847"/>
      <c r="I3" s="847"/>
      <c r="J3" s="848">
        <f t="shared" si="0"/>
        <v>10639317.710000001</v>
      </c>
    </row>
    <row r="4" spans="1:10">
      <c r="A4" s="844" t="s">
        <v>311</v>
      </c>
      <c r="B4" s="845" t="s">
        <v>94</v>
      </c>
      <c r="C4" s="846">
        <v>360606.8</v>
      </c>
      <c r="D4" s="846">
        <v>240872.5</v>
      </c>
      <c r="E4" s="847"/>
      <c r="F4" s="847"/>
      <c r="G4" s="847"/>
      <c r="H4" s="847"/>
      <c r="I4" s="847"/>
      <c r="J4" s="848">
        <f t="shared" si="0"/>
        <v>601479.30000000005</v>
      </c>
    </row>
    <row r="5" spans="1:10">
      <c r="A5" s="844" t="s">
        <v>312</v>
      </c>
      <c r="B5" s="850" t="s">
        <v>91</v>
      </c>
      <c r="C5" s="848">
        <v>529750</v>
      </c>
      <c r="D5" s="847"/>
      <c r="E5" s="847"/>
      <c r="F5" s="848">
        <v>2980649.04</v>
      </c>
      <c r="G5" s="848">
        <v>5717392.1900000004</v>
      </c>
      <c r="H5" s="847"/>
      <c r="I5" s="847"/>
      <c r="J5" s="848">
        <f t="shared" si="0"/>
        <v>9227791.2300000004</v>
      </c>
    </row>
    <row r="6" spans="1:10">
      <c r="A6" s="857" t="s">
        <v>313</v>
      </c>
      <c r="B6" s="850" t="s">
        <v>169</v>
      </c>
      <c r="C6" s="848">
        <v>13699997.41</v>
      </c>
      <c r="D6" s="848">
        <v>3364448.8000000003</v>
      </c>
      <c r="E6" s="847"/>
      <c r="F6" s="848">
        <v>2234020.5499999998</v>
      </c>
      <c r="G6" s="848">
        <v>1665450.64</v>
      </c>
      <c r="H6" s="847"/>
      <c r="I6" s="847"/>
      <c r="J6" s="848">
        <f t="shared" si="0"/>
        <v>20963917.400000002</v>
      </c>
    </row>
    <row r="7" spans="1:10">
      <c r="A7" s="844" t="s">
        <v>314</v>
      </c>
      <c r="B7" s="850" t="s">
        <v>133</v>
      </c>
      <c r="C7" s="848">
        <v>3244076.7399999998</v>
      </c>
      <c r="D7" s="848">
        <v>1634921.2</v>
      </c>
      <c r="E7" s="847"/>
      <c r="F7" s="848">
        <v>3981257.77</v>
      </c>
      <c r="G7" s="847"/>
      <c r="H7" s="847"/>
      <c r="I7" s="847"/>
      <c r="J7" s="848">
        <f t="shared" si="0"/>
        <v>8860255.709999999</v>
      </c>
    </row>
    <row r="8" spans="1:10">
      <c r="A8" s="844" t="s">
        <v>315</v>
      </c>
      <c r="B8" s="850" t="s">
        <v>91</v>
      </c>
      <c r="C8" s="848">
        <v>2392798.5</v>
      </c>
      <c r="D8" s="848">
        <v>157500</v>
      </c>
      <c r="E8" s="847"/>
      <c r="F8" s="847"/>
      <c r="G8" s="847"/>
      <c r="H8" s="847"/>
      <c r="I8" s="847"/>
      <c r="J8" s="848">
        <f t="shared" si="0"/>
        <v>2550298.5</v>
      </c>
    </row>
    <row r="9" spans="1:10">
      <c r="A9" s="844" t="s">
        <v>316</v>
      </c>
      <c r="B9" s="850" t="s">
        <v>113</v>
      </c>
      <c r="C9" s="848">
        <v>363500</v>
      </c>
      <c r="D9" s="848"/>
      <c r="E9" s="848">
        <v>2531327.15</v>
      </c>
      <c r="F9" s="848">
        <v>2750354.64</v>
      </c>
      <c r="G9" s="848">
        <v>4689491.5999999996</v>
      </c>
      <c r="H9" s="847"/>
      <c r="I9" s="847"/>
      <c r="J9" s="848">
        <f t="shared" si="0"/>
        <v>10334673.390000001</v>
      </c>
    </row>
    <row r="10" spans="1:10">
      <c r="A10" s="844" t="s">
        <v>317</v>
      </c>
      <c r="B10" s="850" t="s">
        <v>144</v>
      </c>
      <c r="C10" s="848"/>
      <c r="D10" s="848"/>
      <c r="E10" s="847"/>
      <c r="F10" s="848">
        <v>2750277.47</v>
      </c>
      <c r="G10" s="848">
        <v>1604786.2</v>
      </c>
      <c r="H10" s="847"/>
      <c r="I10" s="847"/>
      <c r="J10" s="848">
        <f t="shared" si="0"/>
        <v>4355063.67</v>
      </c>
    </row>
    <row r="11" spans="1:10">
      <c r="A11" s="844" t="s">
        <v>318</v>
      </c>
      <c r="B11" s="850" t="s">
        <v>137</v>
      </c>
      <c r="C11" s="848">
        <v>1050927.3999999999</v>
      </c>
      <c r="D11" s="847">
        <v>798863.12</v>
      </c>
      <c r="E11" s="847"/>
      <c r="F11" s="847"/>
      <c r="G11" s="847"/>
      <c r="H11" s="847"/>
      <c r="I11" s="847"/>
      <c r="J11" s="848">
        <f t="shared" si="0"/>
        <v>1849790.52</v>
      </c>
    </row>
    <row r="12" spans="1:10">
      <c r="A12" s="857" t="s">
        <v>319</v>
      </c>
      <c r="B12" s="850" t="s">
        <v>10</v>
      </c>
      <c r="C12" s="847">
        <v>214134.7</v>
      </c>
      <c r="D12" s="847">
        <v>248915.4</v>
      </c>
      <c r="E12" s="847"/>
      <c r="F12" s="847"/>
      <c r="G12" s="847"/>
      <c r="H12" s="847"/>
      <c r="I12" s="847"/>
      <c r="J12" s="848">
        <f t="shared" si="0"/>
        <v>463050.1</v>
      </c>
    </row>
    <row r="13" spans="1:10">
      <c r="A13" s="844" t="s">
        <v>320</v>
      </c>
      <c r="B13" s="850" t="s">
        <v>91</v>
      </c>
      <c r="C13" s="848">
        <v>1889865</v>
      </c>
      <c r="D13" s="848">
        <v>825298.6</v>
      </c>
      <c r="E13" s="848">
        <v>12239398.25</v>
      </c>
      <c r="F13" s="848">
        <v>2705186</v>
      </c>
      <c r="G13" s="847"/>
      <c r="H13" s="847"/>
      <c r="I13" s="847"/>
      <c r="J13" s="848">
        <f t="shared" si="0"/>
        <v>17659747.850000001</v>
      </c>
    </row>
    <row r="14" spans="1:10">
      <c r="A14" s="844" t="s">
        <v>321</v>
      </c>
      <c r="B14" s="850" t="s">
        <v>57</v>
      </c>
      <c r="C14" s="848">
        <v>1778293.9</v>
      </c>
      <c r="D14" s="848">
        <v>574874.02</v>
      </c>
      <c r="E14" s="847"/>
      <c r="F14" s="847"/>
      <c r="G14" s="847"/>
      <c r="H14" s="847"/>
      <c r="I14" s="847"/>
      <c r="J14" s="848">
        <f t="shared" si="0"/>
        <v>2353167.92</v>
      </c>
    </row>
    <row r="15" spans="1:10">
      <c r="A15" s="844" t="s">
        <v>322</v>
      </c>
      <c r="B15" s="850" t="s">
        <v>169</v>
      </c>
      <c r="C15" s="848">
        <v>3974576</v>
      </c>
      <c r="D15" s="848"/>
      <c r="E15" s="847"/>
      <c r="F15" s="847"/>
      <c r="G15" s="847"/>
      <c r="H15" s="847"/>
      <c r="I15" s="847"/>
      <c r="J15" s="848">
        <f t="shared" si="0"/>
        <v>3974576</v>
      </c>
    </row>
    <row r="16" spans="1:10">
      <c r="A16" s="844" t="s">
        <v>323</v>
      </c>
      <c r="B16" s="850" t="s">
        <v>85</v>
      </c>
      <c r="C16" s="848">
        <v>450807</v>
      </c>
      <c r="D16" s="848">
        <v>325913.59999999998</v>
      </c>
      <c r="E16" s="847"/>
      <c r="F16" s="847"/>
      <c r="G16" s="847"/>
      <c r="H16" s="847"/>
      <c r="I16" s="847"/>
      <c r="J16" s="848">
        <f t="shared" si="0"/>
        <v>776720.6</v>
      </c>
    </row>
    <row r="17" spans="1:10">
      <c r="A17" s="857" t="s">
        <v>324</v>
      </c>
      <c r="B17" s="850" t="s">
        <v>94</v>
      </c>
      <c r="C17" s="848">
        <v>12480188.6</v>
      </c>
      <c r="D17" s="848">
        <v>2630421.0499999998</v>
      </c>
      <c r="E17" s="847"/>
      <c r="F17" s="847"/>
      <c r="G17" s="847"/>
      <c r="H17" s="847"/>
      <c r="I17" s="847"/>
      <c r="J17" s="848">
        <f t="shared" si="0"/>
        <v>15110609.649999999</v>
      </c>
    </row>
    <row r="18" spans="1:10">
      <c r="A18" s="844" t="s">
        <v>325</v>
      </c>
      <c r="B18" s="850" t="s">
        <v>85</v>
      </c>
      <c r="C18" s="848"/>
      <c r="D18" s="848"/>
      <c r="E18" s="847"/>
      <c r="F18" s="848">
        <v>1651818.1</v>
      </c>
      <c r="G18" s="848">
        <v>1121000.69</v>
      </c>
      <c r="H18" s="847"/>
      <c r="I18" s="847"/>
      <c r="J18" s="848">
        <f t="shared" si="0"/>
        <v>2772818.79</v>
      </c>
    </row>
    <row r="19" spans="1:10">
      <c r="A19" s="844" t="s">
        <v>326</v>
      </c>
      <c r="B19" s="850" t="s">
        <v>57</v>
      </c>
      <c r="C19" s="848">
        <v>48627</v>
      </c>
      <c r="D19" s="848">
        <v>509645</v>
      </c>
      <c r="E19" s="847"/>
      <c r="F19" s="847"/>
      <c r="G19" s="847"/>
      <c r="H19" s="847"/>
      <c r="I19" s="847"/>
      <c r="J19" s="848">
        <f t="shared" si="0"/>
        <v>558272</v>
      </c>
    </row>
    <row r="20" spans="1:10">
      <c r="A20" s="844" t="s">
        <v>327</v>
      </c>
      <c r="B20" s="850" t="s">
        <v>57</v>
      </c>
      <c r="C20" s="848">
        <v>6643983.8799999999</v>
      </c>
      <c r="D20" s="847">
        <v>969916.14</v>
      </c>
      <c r="E20" s="848">
        <v>2628752.64</v>
      </c>
      <c r="F20" s="848">
        <v>4208961.3</v>
      </c>
      <c r="G20" s="847"/>
      <c r="H20" s="847"/>
      <c r="I20" s="847"/>
      <c r="J20" s="848">
        <f t="shared" si="0"/>
        <v>14451613.960000001</v>
      </c>
    </row>
    <row r="21" spans="1:10">
      <c r="A21" s="844" t="s">
        <v>328</v>
      </c>
      <c r="B21" s="850" t="s">
        <v>126</v>
      </c>
      <c r="C21" s="848"/>
      <c r="D21" s="847"/>
      <c r="E21" s="847"/>
      <c r="F21" s="848">
        <v>2317468.5299999998</v>
      </c>
      <c r="G21" s="848">
        <v>1641470.19</v>
      </c>
      <c r="H21" s="847"/>
      <c r="I21" s="847"/>
      <c r="J21" s="848">
        <f t="shared" si="0"/>
        <v>3958938.7199999997</v>
      </c>
    </row>
    <row r="22" spans="1:10">
      <c r="A22" s="844" t="s">
        <v>329</v>
      </c>
      <c r="B22" s="850" t="s">
        <v>57</v>
      </c>
      <c r="C22" s="848">
        <v>229599.99999999997</v>
      </c>
      <c r="D22" s="847">
        <v>452727.2</v>
      </c>
      <c r="E22" s="848">
        <v>1830047.77</v>
      </c>
      <c r="F22" s="847"/>
      <c r="G22" s="847"/>
      <c r="H22" s="847"/>
      <c r="I22" s="847"/>
      <c r="J22" s="848">
        <f t="shared" si="0"/>
        <v>2512374.9699999997</v>
      </c>
    </row>
    <row r="23" spans="1:10">
      <c r="A23" s="844" t="s">
        <v>330</v>
      </c>
      <c r="B23" s="850" t="s">
        <v>57</v>
      </c>
      <c r="C23" s="848">
        <v>529750</v>
      </c>
      <c r="D23" s="848"/>
      <c r="E23" s="847"/>
      <c r="F23" s="847"/>
      <c r="G23" s="847"/>
      <c r="H23" s="847"/>
      <c r="I23" s="847"/>
      <c r="J23" s="848">
        <f t="shared" si="0"/>
        <v>529750</v>
      </c>
    </row>
    <row r="24" spans="1:10">
      <c r="A24" s="851" t="s">
        <v>331</v>
      </c>
      <c r="B24" s="852" t="s">
        <v>57</v>
      </c>
      <c r="C24" s="848"/>
      <c r="D24" s="848"/>
      <c r="E24" s="848">
        <v>10599852.890000001</v>
      </c>
      <c r="F24" s="847"/>
      <c r="G24" s="847"/>
      <c r="H24" s="847"/>
      <c r="I24" s="847"/>
      <c r="J24" s="848">
        <f t="shared" si="0"/>
        <v>10599852.890000001</v>
      </c>
    </row>
    <row r="25" spans="1:10">
      <c r="A25" s="851" t="s">
        <v>332</v>
      </c>
      <c r="B25" s="852" t="s">
        <v>169</v>
      </c>
      <c r="C25" s="847">
        <v>352080</v>
      </c>
      <c r="D25" s="847">
        <v>817332.5</v>
      </c>
      <c r="E25" s="848">
        <v>3613757.59</v>
      </c>
      <c r="F25" s="847"/>
      <c r="G25" s="847"/>
      <c r="H25" s="847"/>
      <c r="I25" s="847"/>
      <c r="J25" s="848">
        <f t="shared" si="0"/>
        <v>4783170.09</v>
      </c>
    </row>
    <row r="26" spans="1:10">
      <c r="A26" s="851" t="s">
        <v>333</v>
      </c>
      <c r="B26" s="852" t="s">
        <v>91</v>
      </c>
      <c r="C26" s="848">
        <v>281482</v>
      </c>
      <c r="D26" s="848">
        <v>638725.38</v>
      </c>
      <c r="E26" s="848">
        <v>12222846.57</v>
      </c>
      <c r="F26" s="847"/>
      <c r="G26" s="847"/>
      <c r="H26" s="847"/>
      <c r="I26" s="847"/>
      <c r="J26" s="848">
        <f t="shared" si="0"/>
        <v>13143053.950000001</v>
      </c>
    </row>
    <row r="27" spans="1:10">
      <c r="A27" s="851" t="s">
        <v>334</v>
      </c>
      <c r="B27" s="852" t="s">
        <v>91</v>
      </c>
      <c r="C27" s="848">
        <v>17020218</v>
      </c>
      <c r="D27" s="848">
        <v>1456458.11</v>
      </c>
      <c r="E27" s="847"/>
      <c r="F27" s="847"/>
      <c r="G27" s="847"/>
      <c r="H27" s="847"/>
      <c r="I27" s="847"/>
      <c r="J27" s="848">
        <f t="shared" si="0"/>
        <v>18476676.109999999</v>
      </c>
    </row>
    <row r="28" spans="1:10">
      <c r="A28" s="857" t="s">
        <v>335</v>
      </c>
      <c r="B28" s="852" t="s">
        <v>85</v>
      </c>
      <c r="C28" s="847">
        <v>1998223.9</v>
      </c>
      <c r="D28" s="847">
        <v>267482.2</v>
      </c>
      <c r="E28" s="847"/>
      <c r="F28" s="847"/>
      <c r="G28" s="847"/>
      <c r="H28" s="847"/>
      <c r="I28" s="847"/>
      <c r="J28" s="848">
        <f t="shared" si="0"/>
        <v>2265706.1</v>
      </c>
    </row>
    <row r="29" spans="1:10">
      <c r="A29" s="851" t="s">
        <v>336</v>
      </c>
      <c r="B29" s="852" t="s">
        <v>87</v>
      </c>
      <c r="C29" s="848">
        <v>1937640.04</v>
      </c>
      <c r="D29" s="848">
        <v>587423.82000000007</v>
      </c>
      <c r="E29" s="847"/>
      <c r="F29" s="848">
        <v>2287209.92</v>
      </c>
      <c r="G29" s="847"/>
      <c r="H29" s="847"/>
      <c r="I29" s="847"/>
      <c r="J29" s="848">
        <f t="shared" si="0"/>
        <v>4812273.78</v>
      </c>
    </row>
    <row r="30" spans="1:10">
      <c r="A30" s="851" t="s">
        <v>337</v>
      </c>
      <c r="B30" s="852" t="s">
        <v>142</v>
      </c>
      <c r="C30" s="848">
        <v>750029.4</v>
      </c>
      <c r="D30" s="847">
        <v>352890.4</v>
      </c>
      <c r="E30" s="847"/>
      <c r="F30" s="847"/>
      <c r="G30" s="847"/>
      <c r="H30" s="847"/>
      <c r="I30" s="847"/>
      <c r="J30" s="848">
        <f t="shared" si="0"/>
        <v>1102919.8</v>
      </c>
    </row>
    <row r="31" spans="1:10">
      <c r="A31" s="851" t="s">
        <v>338</v>
      </c>
      <c r="B31" s="852" t="s">
        <v>81</v>
      </c>
      <c r="C31" s="848">
        <v>129457.60000000001</v>
      </c>
      <c r="D31" s="848">
        <v>228104.68</v>
      </c>
      <c r="E31" s="847"/>
      <c r="F31" s="848">
        <v>2302451.19</v>
      </c>
      <c r="G31" s="847"/>
      <c r="H31" s="847"/>
      <c r="I31" s="847"/>
      <c r="J31" s="848">
        <f t="shared" si="0"/>
        <v>2660013.4699999997</v>
      </c>
    </row>
    <row r="32" spans="1:10">
      <c r="A32" s="857" t="s">
        <v>339</v>
      </c>
      <c r="B32" s="852" t="s">
        <v>89</v>
      </c>
      <c r="C32" s="847">
        <v>1326241.0999999999</v>
      </c>
      <c r="D32" s="847">
        <v>247560</v>
      </c>
      <c r="E32" s="847"/>
      <c r="F32" s="847"/>
      <c r="G32" s="847"/>
      <c r="H32" s="847"/>
      <c r="I32" s="847"/>
      <c r="J32" s="848">
        <f t="shared" si="0"/>
        <v>1573801.0999999999</v>
      </c>
    </row>
    <row r="33" spans="1:10">
      <c r="A33" s="851" t="s">
        <v>340</v>
      </c>
      <c r="B33" s="852" t="s">
        <v>169</v>
      </c>
      <c r="C33" s="848">
        <v>1296390</v>
      </c>
      <c r="D33" s="848"/>
      <c r="E33" s="847"/>
      <c r="F33" s="847"/>
      <c r="G33" s="847"/>
      <c r="H33" s="847"/>
      <c r="I33" s="847"/>
      <c r="J33" s="848">
        <f t="shared" si="0"/>
        <v>1296390</v>
      </c>
    </row>
    <row r="34" spans="1:10">
      <c r="A34" s="851" t="s">
        <v>341</v>
      </c>
      <c r="B34" s="852" t="s">
        <v>57</v>
      </c>
      <c r="C34" s="848"/>
      <c r="D34" s="848"/>
      <c r="E34" s="848">
        <v>2352092.3199999998</v>
      </c>
      <c r="F34" s="847"/>
      <c r="G34" s="847"/>
      <c r="H34" s="847"/>
      <c r="I34" s="847"/>
      <c r="J34" s="848">
        <f t="shared" si="0"/>
        <v>2352092.3199999998</v>
      </c>
    </row>
    <row r="35" spans="1:10">
      <c r="A35" s="851" t="s">
        <v>342</v>
      </c>
      <c r="B35" s="852" t="s">
        <v>169</v>
      </c>
      <c r="C35" s="848">
        <v>6707478.3200000003</v>
      </c>
      <c r="D35" s="848">
        <v>1907332.58</v>
      </c>
      <c r="E35" s="848">
        <v>14751993.83</v>
      </c>
      <c r="F35" s="848">
        <v>2784506.89</v>
      </c>
      <c r="G35" s="848">
        <v>5539551.8899999997</v>
      </c>
      <c r="H35" s="848">
        <v>760276.15</v>
      </c>
      <c r="I35" s="847"/>
      <c r="J35" s="848">
        <f t="shared" si="0"/>
        <v>32451139.66</v>
      </c>
    </row>
    <row r="36" spans="1:10">
      <c r="A36" s="851" t="s">
        <v>343</v>
      </c>
      <c r="B36" s="852" t="s">
        <v>344</v>
      </c>
      <c r="C36" s="848">
        <v>2273710.6</v>
      </c>
      <c r="D36" s="848">
        <v>631869.30000000005</v>
      </c>
      <c r="E36" s="848">
        <v>696827.8</v>
      </c>
      <c r="F36" s="847"/>
      <c r="G36" s="847"/>
      <c r="H36" s="847"/>
      <c r="I36" s="847"/>
      <c r="J36" s="848">
        <f t="shared" si="0"/>
        <v>3602407.7</v>
      </c>
    </row>
    <row r="37" spans="1:10">
      <c r="A37" s="857" t="s">
        <v>345</v>
      </c>
      <c r="B37" s="852" t="s">
        <v>57</v>
      </c>
      <c r="C37" s="848">
        <v>848203</v>
      </c>
      <c r="D37" s="848"/>
      <c r="E37" s="847"/>
      <c r="F37" s="847"/>
      <c r="G37" s="847"/>
      <c r="H37" s="847"/>
      <c r="I37" s="847"/>
      <c r="J37" s="848">
        <f t="shared" si="0"/>
        <v>848203</v>
      </c>
    </row>
    <row r="38" spans="1:10">
      <c r="A38" s="851" t="s">
        <v>346</v>
      </c>
      <c r="B38" s="852" t="s">
        <v>91</v>
      </c>
      <c r="C38" s="848">
        <v>848203</v>
      </c>
      <c r="D38" s="848"/>
      <c r="E38" s="847"/>
      <c r="F38" s="847"/>
      <c r="G38" s="847"/>
      <c r="H38" s="847"/>
      <c r="I38" s="847"/>
      <c r="J38" s="848">
        <f t="shared" si="0"/>
        <v>848203</v>
      </c>
    </row>
    <row r="39" spans="1:10">
      <c r="A39" s="851" t="s">
        <v>347</v>
      </c>
      <c r="B39" s="852" t="s">
        <v>169</v>
      </c>
      <c r="C39" s="848">
        <v>2405119</v>
      </c>
      <c r="D39" s="848">
        <v>2381026</v>
      </c>
      <c r="E39" s="848">
        <v>2393830.96</v>
      </c>
      <c r="F39" s="847"/>
      <c r="G39" s="847"/>
      <c r="H39" s="847"/>
      <c r="I39" s="847"/>
      <c r="J39" s="848">
        <f t="shared" si="0"/>
        <v>7179975.96</v>
      </c>
    </row>
    <row r="40" spans="1:10">
      <c r="A40" s="851" t="s">
        <v>348</v>
      </c>
      <c r="B40" s="852" t="s">
        <v>73</v>
      </c>
      <c r="C40" s="848">
        <v>1964964.8800000001</v>
      </c>
      <c r="D40" s="847">
        <v>702695.74</v>
      </c>
      <c r="E40" s="848">
        <v>3650843.52</v>
      </c>
      <c r="F40" s="848">
        <v>3942928.86</v>
      </c>
      <c r="G40" s="847"/>
      <c r="H40" s="847"/>
      <c r="I40" s="847"/>
      <c r="J40" s="848">
        <f t="shared" si="0"/>
        <v>10261433</v>
      </c>
    </row>
    <row r="41" spans="1:10">
      <c r="A41" s="851" t="s">
        <v>349</v>
      </c>
      <c r="B41" s="852" t="s">
        <v>128</v>
      </c>
      <c r="C41" s="847">
        <v>6438258.3999999994</v>
      </c>
      <c r="D41" s="847">
        <v>2898502.3</v>
      </c>
      <c r="E41" s="847"/>
      <c r="F41" s="848">
        <v>4552372.0199999996</v>
      </c>
      <c r="G41" s="847"/>
      <c r="H41" s="847"/>
      <c r="I41" s="847"/>
      <c r="J41" s="848">
        <f t="shared" si="0"/>
        <v>13889132.719999999</v>
      </c>
    </row>
    <row r="42" spans="1:10">
      <c r="A42" s="851" t="s">
        <v>350</v>
      </c>
      <c r="B42" s="852" t="s">
        <v>10</v>
      </c>
      <c r="C42" s="848">
        <v>2227128.5</v>
      </c>
      <c r="D42" s="848">
        <v>614835</v>
      </c>
      <c r="E42" s="847"/>
      <c r="F42" s="848">
        <v>2707774.82</v>
      </c>
      <c r="G42" s="847"/>
      <c r="H42" s="847"/>
      <c r="I42" s="847"/>
      <c r="J42" s="848">
        <f t="shared" si="0"/>
        <v>5549738.3200000003</v>
      </c>
    </row>
    <row r="43" spans="1:10">
      <c r="A43" s="851" t="s">
        <v>351</v>
      </c>
      <c r="B43" s="852" t="s">
        <v>141</v>
      </c>
      <c r="C43" s="848">
        <v>1201380.1200000001</v>
      </c>
      <c r="D43" s="848">
        <v>1232865.3999999999</v>
      </c>
      <c r="E43" s="847"/>
      <c r="F43" s="848">
        <v>2222465.66</v>
      </c>
      <c r="G43" s="847"/>
      <c r="H43" s="847"/>
      <c r="I43" s="847"/>
      <c r="J43" s="848">
        <f t="shared" si="0"/>
        <v>4656711.18</v>
      </c>
    </row>
    <row r="44" spans="1:10">
      <c r="A44" s="851" t="s">
        <v>352</v>
      </c>
      <c r="B44" s="852" t="s">
        <v>73</v>
      </c>
      <c r="C44" s="848">
        <v>1013248</v>
      </c>
      <c r="D44" s="848">
        <v>662295.38</v>
      </c>
      <c r="E44" s="847"/>
      <c r="F44" s="847"/>
      <c r="G44" s="847"/>
      <c r="H44" s="847"/>
      <c r="I44" s="847"/>
      <c r="J44" s="848">
        <f t="shared" si="0"/>
        <v>1675543.38</v>
      </c>
    </row>
    <row r="45" spans="1:10">
      <c r="A45" s="851" t="s">
        <v>353</v>
      </c>
      <c r="B45" s="852" t="s">
        <v>128</v>
      </c>
      <c r="C45" s="848">
        <v>717796</v>
      </c>
      <c r="D45" s="848">
        <v>533951.80000000005</v>
      </c>
      <c r="E45" s="847"/>
      <c r="F45" s="847"/>
      <c r="G45" s="847"/>
      <c r="H45" s="847"/>
      <c r="I45" s="847"/>
      <c r="J45" s="848">
        <f t="shared" si="0"/>
        <v>1251747.8</v>
      </c>
    </row>
    <row r="46" spans="1:10">
      <c r="A46" s="851" t="s">
        <v>354</v>
      </c>
      <c r="B46" s="852" t="s">
        <v>91</v>
      </c>
      <c r="C46" s="848">
        <v>7468253.6999999993</v>
      </c>
      <c r="D46" s="847">
        <v>989838.75</v>
      </c>
      <c r="E46" s="847"/>
      <c r="F46" s="848">
        <v>2749600</v>
      </c>
      <c r="G46" s="847"/>
      <c r="H46" s="847"/>
      <c r="I46" s="847"/>
      <c r="J46" s="848">
        <f t="shared" si="0"/>
        <v>11207692.449999999</v>
      </c>
    </row>
    <row r="47" spans="1:10">
      <c r="A47" s="851" t="s">
        <v>355</v>
      </c>
      <c r="B47" s="852" t="s">
        <v>133</v>
      </c>
      <c r="C47" s="848">
        <v>4370377.22</v>
      </c>
      <c r="D47" s="848">
        <v>1606188.3</v>
      </c>
      <c r="E47" s="847"/>
      <c r="F47" s="848">
        <v>1900234.88</v>
      </c>
      <c r="G47" s="847"/>
      <c r="H47" s="847"/>
      <c r="I47" s="847"/>
      <c r="J47" s="848">
        <f t="shared" si="0"/>
        <v>7876800.3999999994</v>
      </c>
    </row>
    <row r="48" spans="1:10">
      <c r="A48" s="851" t="s">
        <v>356</v>
      </c>
      <c r="B48" s="852" t="s">
        <v>77</v>
      </c>
      <c r="C48" s="848">
        <v>2631138.2999999998</v>
      </c>
      <c r="D48" s="848">
        <v>1800902.1</v>
      </c>
      <c r="E48" s="847"/>
      <c r="F48" s="847"/>
      <c r="G48" s="847"/>
      <c r="H48" s="847"/>
      <c r="I48" s="847"/>
      <c r="J48" s="848">
        <f t="shared" si="0"/>
        <v>4432040.4000000004</v>
      </c>
    </row>
    <row r="49" spans="1:10">
      <c r="A49" s="851" t="s">
        <v>357</v>
      </c>
      <c r="B49" s="852" t="s">
        <v>89</v>
      </c>
      <c r="C49" s="848">
        <v>254725</v>
      </c>
      <c r="D49" s="848">
        <v>606449.30000000005</v>
      </c>
      <c r="E49" s="848">
        <v>4746355.6399999997</v>
      </c>
      <c r="F49" s="848">
        <v>2319209.0499999998</v>
      </c>
      <c r="G49" s="848">
        <v>1707124.42</v>
      </c>
      <c r="H49" s="847"/>
      <c r="I49" s="847"/>
      <c r="J49" s="848">
        <f t="shared" si="0"/>
        <v>9633863.4100000001</v>
      </c>
    </row>
    <row r="50" spans="1:10">
      <c r="A50" s="851" t="s">
        <v>358</v>
      </c>
      <c r="B50" s="852" t="s">
        <v>57</v>
      </c>
      <c r="C50" s="848">
        <v>384816</v>
      </c>
      <c r="D50" s="848">
        <v>587096.80000000005</v>
      </c>
      <c r="E50" s="847"/>
      <c r="F50" s="847"/>
      <c r="G50" s="847"/>
      <c r="H50" s="847"/>
      <c r="I50" s="847"/>
      <c r="J50" s="848">
        <f t="shared" si="0"/>
        <v>971912.8</v>
      </c>
    </row>
    <row r="51" spans="1:10">
      <c r="A51" s="851" t="s">
        <v>359</v>
      </c>
      <c r="B51" s="852" t="s">
        <v>57</v>
      </c>
      <c r="C51" s="848">
        <v>2100638</v>
      </c>
      <c r="D51" s="848"/>
      <c r="E51" s="848">
        <v>1622638.91</v>
      </c>
      <c r="F51" s="847"/>
      <c r="G51" s="847"/>
      <c r="H51" s="847"/>
      <c r="I51" s="847"/>
      <c r="J51" s="848">
        <f t="shared" si="0"/>
        <v>3723276.91</v>
      </c>
    </row>
    <row r="52" spans="1:10">
      <c r="A52" s="851" t="s">
        <v>360</v>
      </c>
      <c r="B52" s="852" t="s">
        <v>169</v>
      </c>
      <c r="C52" s="848">
        <v>6936000</v>
      </c>
      <c r="D52" s="848"/>
      <c r="E52" s="847"/>
      <c r="F52" s="847"/>
      <c r="G52" s="847"/>
      <c r="H52" s="847"/>
      <c r="I52" s="847"/>
      <c r="J52" s="848">
        <f t="shared" si="0"/>
        <v>6936000</v>
      </c>
    </row>
    <row r="53" spans="1:10">
      <c r="A53" s="857" t="s">
        <v>361</v>
      </c>
      <c r="B53" s="852" t="s">
        <v>126</v>
      </c>
      <c r="C53" s="848">
        <v>4163967.2</v>
      </c>
      <c r="D53" s="848">
        <v>769350.5</v>
      </c>
      <c r="E53" s="848">
        <v>1847717.6</v>
      </c>
      <c r="F53" s="848">
        <v>2799169.12</v>
      </c>
      <c r="G53" s="847"/>
      <c r="H53" s="847"/>
      <c r="I53" s="847"/>
      <c r="J53" s="848">
        <f t="shared" si="0"/>
        <v>9580204.4200000018</v>
      </c>
    </row>
    <row r="54" spans="1:10">
      <c r="A54" s="851" t="s">
        <v>362</v>
      </c>
      <c r="B54" s="852" t="s">
        <v>57</v>
      </c>
      <c r="C54" s="848">
        <v>5197196.7</v>
      </c>
      <c r="D54" s="848">
        <v>378000</v>
      </c>
      <c r="E54" s="847"/>
      <c r="F54" s="848">
        <v>2752638.41</v>
      </c>
      <c r="G54" s="848">
        <v>7231215.6299999999</v>
      </c>
      <c r="H54" s="847"/>
      <c r="I54" s="847"/>
      <c r="J54" s="848">
        <f t="shared" si="0"/>
        <v>15559050.74</v>
      </c>
    </row>
    <row r="55" spans="1:10">
      <c r="A55" s="851" t="s">
        <v>363</v>
      </c>
      <c r="B55" s="852" t="s">
        <v>169</v>
      </c>
      <c r="C55" s="848">
        <v>15225000</v>
      </c>
      <c r="D55" s="848">
        <v>15225000</v>
      </c>
      <c r="E55" s="847"/>
      <c r="F55" s="847"/>
      <c r="G55" s="847"/>
      <c r="H55" s="847"/>
      <c r="I55" s="847"/>
      <c r="J55" s="848">
        <f t="shared" si="0"/>
        <v>30450000</v>
      </c>
    </row>
    <row r="56" spans="1:10">
      <c r="A56" s="851" t="s">
        <v>364</v>
      </c>
      <c r="B56" s="852" t="s">
        <v>85</v>
      </c>
      <c r="C56" s="848">
        <v>751052</v>
      </c>
      <c r="D56" s="848">
        <v>551161.1</v>
      </c>
      <c r="E56" s="848">
        <v>3266468.69</v>
      </c>
      <c r="F56" s="848">
        <v>3709458.26</v>
      </c>
      <c r="G56" s="848">
        <v>1400028.14</v>
      </c>
      <c r="H56" s="847"/>
      <c r="I56" s="847"/>
      <c r="J56" s="848">
        <f t="shared" si="0"/>
        <v>9678168.1899999995</v>
      </c>
    </row>
    <row r="57" spans="1:10">
      <c r="A57" s="857" t="s">
        <v>365</v>
      </c>
      <c r="B57" s="852" t="s">
        <v>169</v>
      </c>
      <c r="C57" s="848"/>
      <c r="D57" s="848"/>
      <c r="E57" s="847"/>
      <c r="F57" s="847"/>
      <c r="G57" s="847"/>
      <c r="H57" s="847"/>
      <c r="I57" s="848">
        <v>180437.41</v>
      </c>
      <c r="J57" s="848">
        <f t="shared" si="0"/>
        <v>180437.41</v>
      </c>
    </row>
    <row r="58" spans="1:10">
      <c r="A58" s="851" t="s">
        <v>366</v>
      </c>
      <c r="B58" s="852" t="s">
        <v>367</v>
      </c>
      <c r="C58" s="848">
        <v>3668736</v>
      </c>
      <c r="D58" s="848">
        <v>320018.90000000002</v>
      </c>
      <c r="E58" s="847"/>
      <c r="F58" s="847"/>
      <c r="G58" s="847"/>
      <c r="H58" s="847"/>
      <c r="I58" s="847"/>
      <c r="J58" s="848">
        <f t="shared" si="0"/>
        <v>3988754.9</v>
      </c>
    </row>
    <row r="59" spans="1:10">
      <c r="A59" s="851" t="s">
        <v>368</v>
      </c>
      <c r="B59" s="852" t="s">
        <v>73</v>
      </c>
      <c r="C59" s="848">
        <v>5508381</v>
      </c>
      <c r="D59" s="848">
        <v>641526.26</v>
      </c>
      <c r="E59" s="847"/>
      <c r="F59" s="847"/>
      <c r="G59" s="847"/>
      <c r="H59" s="847"/>
      <c r="I59" s="847"/>
      <c r="J59" s="848">
        <f t="shared" si="0"/>
        <v>6149907.2599999998</v>
      </c>
    </row>
    <row r="60" spans="1:10">
      <c r="A60" s="851" t="s">
        <v>369</v>
      </c>
      <c r="B60" s="852" t="s">
        <v>81</v>
      </c>
      <c r="C60" s="848">
        <v>5806029</v>
      </c>
      <c r="D60" s="848">
        <v>392209.21</v>
      </c>
      <c r="E60" s="847"/>
      <c r="F60" s="847"/>
      <c r="G60" s="847"/>
      <c r="H60" s="847"/>
      <c r="I60" s="847"/>
      <c r="J60" s="848">
        <f t="shared" si="0"/>
        <v>6198238.21</v>
      </c>
    </row>
    <row r="61" spans="1:10">
      <c r="A61" s="851" t="s">
        <v>370</v>
      </c>
      <c r="B61" s="852" t="s">
        <v>371</v>
      </c>
      <c r="C61" s="848">
        <v>6438379.5</v>
      </c>
      <c r="D61" s="848">
        <v>579755.17000000004</v>
      </c>
      <c r="E61" s="847"/>
      <c r="F61" s="847"/>
      <c r="G61" s="847"/>
      <c r="H61" s="847"/>
      <c r="I61" s="847"/>
      <c r="J61" s="848">
        <f t="shared" si="0"/>
        <v>7018134.6699999999</v>
      </c>
    </row>
    <row r="62" spans="1:10">
      <c r="A62" s="851" t="s">
        <v>372</v>
      </c>
      <c r="B62" s="852" t="s">
        <v>113</v>
      </c>
      <c r="C62" s="848">
        <v>4923944</v>
      </c>
      <c r="D62" s="847">
        <v>405605.35000000003</v>
      </c>
      <c r="E62" s="847"/>
      <c r="F62" s="847"/>
      <c r="G62" s="847"/>
      <c r="H62" s="847"/>
      <c r="I62" s="847"/>
      <c r="J62" s="848">
        <f t="shared" si="0"/>
        <v>5329549.3499999996</v>
      </c>
    </row>
    <row r="63" spans="1:10">
      <c r="A63" s="851" t="s">
        <v>373</v>
      </c>
      <c r="B63" s="852" t="s">
        <v>344</v>
      </c>
      <c r="C63" s="848">
        <v>4186024.5</v>
      </c>
      <c r="D63" s="847">
        <v>424955.33</v>
      </c>
      <c r="E63" s="847"/>
      <c r="F63" s="847"/>
      <c r="G63" s="847"/>
      <c r="H63" s="847"/>
      <c r="I63" s="847"/>
      <c r="J63" s="848">
        <f t="shared" si="0"/>
        <v>4610979.83</v>
      </c>
    </row>
    <row r="64" spans="1:10">
      <c r="A64" s="851" t="s">
        <v>374</v>
      </c>
      <c r="B64" s="852" t="s">
        <v>169</v>
      </c>
      <c r="C64" s="848"/>
      <c r="D64" s="847"/>
      <c r="E64" s="847"/>
      <c r="F64" s="847"/>
      <c r="G64" s="848">
        <v>3983443.37</v>
      </c>
      <c r="H64" s="847"/>
      <c r="I64" s="847"/>
      <c r="J64" s="848">
        <f t="shared" si="0"/>
        <v>3983443.37</v>
      </c>
    </row>
    <row r="65" spans="1:10">
      <c r="A65" s="857" t="s">
        <v>375</v>
      </c>
      <c r="B65" s="852" t="s">
        <v>133</v>
      </c>
      <c r="C65" s="848">
        <v>5279482.96</v>
      </c>
      <c r="D65" s="848">
        <v>1678779.4</v>
      </c>
      <c r="E65" s="847"/>
      <c r="F65" s="847"/>
      <c r="G65" s="847"/>
      <c r="H65" s="847"/>
      <c r="I65" s="847"/>
      <c r="J65" s="848">
        <f t="shared" si="0"/>
        <v>6958262.3599999994</v>
      </c>
    </row>
    <row r="66" spans="1:10">
      <c r="A66" s="857" t="s">
        <v>376</v>
      </c>
      <c r="B66" s="852" t="s">
        <v>137</v>
      </c>
      <c r="C66" s="848">
        <v>1014632.7</v>
      </c>
      <c r="D66" s="848">
        <v>36000</v>
      </c>
      <c r="E66" s="847"/>
      <c r="F66" s="847"/>
      <c r="G66" s="847"/>
      <c r="H66" s="847"/>
      <c r="I66" s="847"/>
      <c r="J66" s="848">
        <f t="shared" ref="J66:J74" si="1">SUM(C66:I66)</f>
        <v>1050632.7</v>
      </c>
    </row>
    <row r="67" spans="1:10">
      <c r="A67" s="851" t="s">
        <v>377</v>
      </c>
      <c r="B67" s="852" t="s">
        <v>57</v>
      </c>
      <c r="C67" s="848">
        <v>1718953</v>
      </c>
      <c r="D67" s="848">
        <v>535737.5</v>
      </c>
      <c r="E67" s="848">
        <v>2006487.79</v>
      </c>
      <c r="F67" s="847"/>
      <c r="G67" s="847"/>
      <c r="H67" s="847"/>
      <c r="I67" s="847"/>
      <c r="J67" s="848">
        <f t="shared" si="1"/>
        <v>4261178.29</v>
      </c>
    </row>
    <row r="68" spans="1:10">
      <c r="A68" s="857" t="s">
        <v>378</v>
      </c>
      <c r="B68" s="852" t="s">
        <v>169</v>
      </c>
      <c r="C68" s="848">
        <v>941075.60000000009</v>
      </c>
      <c r="D68" s="848">
        <v>473709.4</v>
      </c>
      <c r="E68" s="847"/>
      <c r="F68" s="847"/>
      <c r="G68" s="847"/>
      <c r="H68" s="847"/>
      <c r="I68" s="847"/>
      <c r="J68" s="848">
        <f t="shared" si="1"/>
        <v>1414785</v>
      </c>
    </row>
    <row r="69" spans="1:10">
      <c r="A69" s="857" t="s">
        <v>379</v>
      </c>
      <c r="B69" s="852" t="s">
        <v>113</v>
      </c>
      <c r="C69" s="847">
        <v>2804398.2</v>
      </c>
      <c r="D69" s="847">
        <v>198000</v>
      </c>
      <c r="E69" s="847"/>
      <c r="F69" s="847"/>
      <c r="G69" s="847"/>
      <c r="H69" s="847"/>
      <c r="I69" s="847"/>
      <c r="J69" s="848">
        <f t="shared" si="1"/>
        <v>3002398.2</v>
      </c>
    </row>
    <row r="70" spans="1:10">
      <c r="A70" s="857" t="s">
        <v>380</v>
      </c>
      <c r="B70" s="852" t="s">
        <v>144</v>
      </c>
      <c r="C70" s="848">
        <v>1033279.5</v>
      </c>
      <c r="D70" s="848">
        <v>27000</v>
      </c>
      <c r="E70" s="848">
        <v>1422901.57</v>
      </c>
      <c r="F70" s="847"/>
      <c r="G70" s="847"/>
      <c r="H70" s="847"/>
      <c r="I70" s="847"/>
      <c r="J70" s="848">
        <f t="shared" si="1"/>
        <v>2483181.0700000003</v>
      </c>
    </row>
    <row r="71" spans="1:10">
      <c r="A71" s="851" t="s">
        <v>381</v>
      </c>
      <c r="B71" s="852" t="s">
        <v>367</v>
      </c>
      <c r="C71" s="848">
        <v>1149641.3999999999</v>
      </c>
      <c r="D71" s="848">
        <v>119656.3</v>
      </c>
      <c r="E71" s="847"/>
      <c r="F71" s="847"/>
      <c r="G71" s="847"/>
      <c r="H71" s="847"/>
      <c r="I71" s="847"/>
      <c r="J71" s="848">
        <f t="shared" si="1"/>
        <v>1269297.7</v>
      </c>
    </row>
    <row r="72" spans="1:10">
      <c r="A72" s="857" t="s">
        <v>382</v>
      </c>
      <c r="B72" s="852" t="s">
        <v>131</v>
      </c>
      <c r="C72" s="848">
        <v>2183743.92</v>
      </c>
      <c r="D72" s="848">
        <v>1334930</v>
      </c>
      <c r="E72" s="847"/>
      <c r="F72" s="848">
        <v>2708698.4</v>
      </c>
      <c r="G72" s="847"/>
      <c r="H72" s="847"/>
      <c r="I72" s="847"/>
      <c r="J72" s="848">
        <f t="shared" si="1"/>
        <v>6227372.3200000003</v>
      </c>
    </row>
    <row r="73" spans="1:10">
      <c r="A73" s="851" t="s">
        <v>383</v>
      </c>
      <c r="B73" s="852" t="s">
        <v>91</v>
      </c>
      <c r="C73" s="848">
        <v>6549684</v>
      </c>
      <c r="D73" s="847">
        <v>882575.38</v>
      </c>
      <c r="E73" s="848">
        <v>18684481.300000001</v>
      </c>
      <c r="F73" s="848">
        <v>3442406.48</v>
      </c>
      <c r="G73" s="847"/>
      <c r="H73" s="847"/>
      <c r="I73" s="847"/>
      <c r="J73" s="848">
        <f t="shared" si="1"/>
        <v>29559147.16</v>
      </c>
    </row>
    <row r="74" spans="1:10">
      <c r="A74" s="851" t="s">
        <v>384</v>
      </c>
      <c r="B74" s="852" t="s">
        <v>113</v>
      </c>
      <c r="C74" s="848">
        <v>677366</v>
      </c>
      <c r="D74" s="848">
        <v>578059.30000000005</v>
      </c>
      <c r="E74" s="848">
        <v>1867435.03</v>
      </c>
      <c r="F74" s="848">
        <v>3983878.02</v>
      </c>
      <c r="G74" s="847"/>
      <c r="H74" s="847"/>
      <c r="I74" s="847"/>
      <c r="J74" s="848">
        <f t="shared" si="1"/>
        <v>7106738.3499999996</v>
      </c>
    </row>
    <row r="75" spans="1:10">
      <c r="A75" s="853" t="s">
        <v>385</v>
      </c>
      <c r="B75" s="854"/>
      <c r="C75" s="855">
        <f t="shared" ref="C75:I75" si="2">SUBTOTAL(9,C2:C74)</f>
        <v>210151952.12999997</v>
      </c>
      <c r="D75" s="848">
        <f t="shared" si="2"/>
        <v>61946623.149999991</v>
      </c>
      <c r="E75" s="848">
        <f t="shared" si="2"/>
        <v>109696418.11999997</v>
      </c>
      <c r="F75" s="848">
        <f t="shared" si="2"/>
        <v>75455250.75</v>
      </c>
      <c r="G75" s="848">
        <f t="shared" si="2"/>
        <v>36300954.960000001</v>
      </c>
      <c r="H75" s="848">
        <f t="shared" si="2"/>
        <v>760276.15</v>
      </c>
      <c r="I75" s="848">
        <f t="shared" si="2"/>
        <v>180437.41</v>
      </c>
      <c r="J75" s="848">
        <f>SUBTOTAL(9,J2:J74)</f>
        <v>494491912.66999996</v>
      </c>
    </row>
  </sheetData>
  <autoFilter ref="A1:N74"/>
  <pageMargins left="0.75" right="0.75" top="1" bottom="1" header="0.5" footer="0.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B990"/>
  <sheetViews>
    <sheetView zoomScale="130" zoomScaleNormal="130" workbookViewId="0">
      <pane ySplit="1" topLeftCell="A2" activePane="bottomLeft" state="frozen"/>
      <selection pane="bottomLeft" activeCell="I75" sqref="I75"/>
    </sheetView>
  </sheetViews>
  <sheetFormatPr defaultColWidth="14.44140625" defaultRowHeight="15" customHeight="1"/>
  <cols>
    <col min="1" max="1" width="10.88671875" customWidth="1"/>
    <col min="2" max="2" width="36.88671875" hidden="1" customWidth="1"/>
    <col min="3" max="3" width="23.44140625" hidden="1" customWidth="1"/>
    <col min="4" max="4" width="20.44140625" hidden="1" customWidth="1"/>
    <col min="5" max="5" width="24.33203125" customWidth="1"/>
    <col min="6" max="6" width="29.5546875" hidden="1" customWidth="1"/>
    <col min="7" max="7" width="34" customWidth="1"/>
    <col min="8" max="8" width="25.6640625" customWidth="1"/>
    <col min="9" max="9" width="8.5546875" customWidth="1"/>
    <col min="10" max="10" width="8.109375" customWidth="1"/>
    <col min="11" max="11" width="13" customWidth="1"/>
    <col min="12" max="12" width="12.109375" customWidth="1"/>
    <col min="13" max="13" width="12.44140625" customWidth="1"/>
    <col min="14" max="14" width="13.6640625" customWidth="1"/>
    <col min="15" max="15" width="7.44140625" customWidth="1"/>
    <col min="16" max="16" width="8.109375" customWidth="1"/>
    <col min="17" max="17" width="10.5546875" customWidth="1"/>
    <col min="18" max="18" width="15" customWidth="1"/>
    <col min="19" max="19" width="11.5546875" customWidth="1"/>
    <col min="20" max="20" width="9.88671875" customWidth="1"/>
    <col min="21" max="21" width="31.109375" customWidth="1"/>
    <col min="22" max="22" width="126.109375" customWidth="1"/>
    <col min="23" max="28" width="6.5546875" customWidth="1"/>
  </cols>
  <sheetData>
    <row r="1" spans="1:28" ht="13.5" customHeight="1">
      <c r="A1" s="1" t="s">
        <v>386</v>
      </c>
      <c r="B1" s="1"/>
      <c r="C1" s="1"/>
      <c r="D1" s="1" t="s">
        <v>387</v>
      </c>
      <c r="E1" s="1" t="s">
        <v>388</v>
      </c>
      <c r="F1" s="1" t="s">
        <v>389</v>
      </c>
      <c r="G1" s="1" t="s">
        <v>390</v>
      </c>
      <c r="H1" s="1" t="s">
        <v>391</v>
      </c>
      <c r="I1" s="1" t="s">
        <v>392</v>
      </c>
      <c r="J1" s="1" t="s">
        <v>393</v>
      </c>
      <c r="K1" s="1" t="s">
        <v>394</v>
      </c>
      <c r="L1" s="2" t="s">
        <v>395</v>
      </c>
      <c r="M1" s="1" t="s">
        <v>396</v>
      </c>
      <c r="N1" s="1" t="s">
        <v>397</v>
      </c>
      <c r="O1" s="1">
        <v>2021</v>
      </c>
      <c r="P1" s="1">
        <v>2022</v>
      </c>
      <c r="Q1" s="1">
        <v>2023</v>
      </c>
      <c r="R1" s="1" t="s">
        <v>398</v>
      </c>
      <c r="S1" s="3" t="s">
        <v>399</v>
      </c>
      <c r="T1" s="3" t="s">
        <v>400</v>
      </c>
      <c r="U1" s="3" t="s">
        <v>401</v>
      </c>
      <c r="V1" s="4"/>
      <c r="W1" s="4"/>
      <c r="X1" s="4"/>
      <c r="Y1" s="4"/>
      <c r="Z1" s="4"/>
      <c r="AA1" s="4"/>
      <c r="AB1" s="4"/>
    </row>
    <row r="2" spans="1:28" ht="13.5" customHeight="1">
      <c r="A2" s="5" t="s">
        <v>147</v>
      </c>
      <c r="B2" s="5" t="s">
        <v>402</v>
      </c>
      <c r="C2" s="5" t="s">
        <v>403</v>
      </c>
      <c r="D2" s="6" t="s">
        <v>404</v>
      </c>
      <c r="E2" s="657" t="s">
        <v>405</v>
      </c>
      <c r="F2" s="5" t="s">
        <v>402</v>
      </c>
      <c r="G2" s="1" t="s">
        <v>406</v>
      </c>
      <c r="H2" s="5"/>
      <c r="I2" s="5" t="s">
        <v>407</v>
      </c>
      <c r="J2" s="5" t="s">
        <v>408</v>
      </c>
      <c r="K2" s="5" t="s">
        <v>409</v>
      </c>
      <c r="L2" s="7">
        <f>SUMIFS(Budget_main!$E$4:$E$65,Budget_main!$A$4:$A$65,B2,Budget_main!$B$4:$B$65,C2)/O2</f>
        <v>903064.18750000012</v>
      </c>
      <c r="M2" s="7">
        <f>SUMIFS(Budget_main!$G$4:$G$65,Budget_main!$A$4:$A$65,B2,Budget_main!$B$4:$B$65,C2)/P2</f>
        <v>772640.15625</v>
      </c>
      <c r="N2" s="7">
        <f>SUMIFS(Budget_main!$I$4:$I$65,Budget_main!$A$4:$A$65,B2,Budget_main!$B$4:$B$65,C2)/Q2</f>
        <v>118545.15624999997</v>
      </c>
      <c r="O2" s="8">
        <v>1</v>
      </c>
      <c r="P2" s="8">
        <v>1</v>
      </c>
      <c r="Q2" s="8">
        <v>1</v>
      </c>
      <c r="R2" s="5" t="s">
        <v>410</v>
      </c>
      <c r="S2" s="9"/>
      <c r="T2" s="10"/>
      <c r="U2" s="9" t="s">
        <v>411</v>
      </c>
      <c r="V2" s="4"/>
      <c r="W2" s="4"/>
      <c r="X2" s="4"/>
      <c r="Y2" s="4"/>
      <c r="Z2" s="4"/>
      <c r="AA2" s="4"/>
      <c r="AB2" s="4"/>
    </row>
    <row r="3" spans="1:28" ht="13.5" customHeight="1">
      <c r="A3" s="638" t="s">
        <v>7</v>
      </c>
      <c r="B3" s="5" t="s">
        <v>412</v>
      </c>
      <c r="C3" s="5" t="s">
        <v>403</v>
      </c>
      <c r="D3" s="6" t="s">
        <v>404</v>
      </c>
      <c r="E3" s="658" t="s">
        <v>413</v>
      </c>
      <c r="F3" s="5" t="s">
        <v>412</v>
      </c>
      <c r="G3" s="1" t="s">
        <v>414</v>
      </c>
      <c r="H3" s="5" t="s">
        <v>415</v>
      </c>
      <c r="I3" s="5" t="s">
        <v>407</v>
      </c>
      <c r="J3" s="5" t="s">
        <v>416</v>
      </c>
      <c r="K3" s="5" t="s">
        <v>9</v>
      </c>
      <c r="L3" s="7">
        <f>SUMIFS(Budget_main!$E$4:$E$65,Budget_main!$A$4:$A$65,B3,Budget_main!$B$4:$B$65,C3)/O3</f>
        <v>12893.53049293155</v>
      </c>
      <c r="M3" s="7">
        <f>SUMIFS(Budget_main!$G$4:$G$65,Budget_main!$A$4:$A$65,B3,Budget_main!$B$4:$B$65,C3)/P3</f>
        <v>12893.530492931548</v>
      </c>
      <c r="N3" s="7">
        <f>SUMIFS(Budget_main!$I$4:$I$65,Budget_main!$A$4:$A$65,B3,Budget_main!$B$4:$B$65,C3)/Q3</f>
        <v>12893.530492931544</v>
      </c>
      <c r="O3" s="8">
        <v>3971</v>
      </c>
      <c r="P3" s="8">
        <v>2753</v>
      </c>
      <c r="Q3" s="640">
        <v>1948</v>
      </c>
      <c r="R3" s="5" t="s">
        <v>417</v>
      </c>
      <c r="S3" s="9"/>
      <c r="T3" s="10"/>
      <c r="U3" s="9" t="s">
        <v>418</v>
      </c>
      <c r="V3" s="4" t="s">
        <v>419</v>
      </c>
      <c r="W3" s="4"/>
      <c r="X3" s="4"/>
      <c r="Y3" s="4"/>
      <c r="Z3" s="4"/>
      <c r="AA3" s="4"/>
      <c r="AB3" s="4"/>
    </row>
    <row r="4" spans="1:28" ht="13.5" customHeight="1">
      <c r="A4" s="639" t="s">
        <v>11</v>
      </c>
      <c r="B4" s="11"/>
      <c r="C4" s="11"/>
      <c r="D4" s="6" t="s">
        <v>404</v>
      </c>
      <c r="E4" s="658" t="s">
        <v>413</v>
      </c>
      <c r="F4" s="11" t="s">
        <v>412</v>
      </c>
      <c r="G4" s="12" t="s">
        <v>420</v>
      </c>
      <c r="H4" s="11" t="s">
        <v>415</v>
      </c>
      <c r="I4" s="11" t="s">
        <v>407</v>
      </c>
      <c r="J4" s="5" t="s">
        <v>416</v>
      </c>
      <c r="K4" s="5" t="s">
        <v>9</v>
      </c>
      <c r="L4" s="13"/>
      <c r="M4" s="13"/>
      <c r="N4" s="13"/>
      <c r="O4" s="11"/>
      <c r="P4" s="11"/>
      <c r="Q4" s="639">
        <v>1628</v>
      </c>
      <c r="R4" s="5" t="s">
        <v>417</v>
      </c>
      <c r="S4" s="14"/>
      <c r="T4" s="15"/>
      <c r="U4" s="14" t="s">
        <v>421</v>
      </c>
      <c r="V4" s="4"/>
      <c r="W4" s="4"/>
      <c r="X4" s="4"/>
      <c r="Y4" s="4"/>
      <c r="Z4" s="4"/>
      <c r="AA4" s="4"/>
      <c r="AB4" s="4"/>
    </row>
    <row r="5" spans="1:28" ht="13.5" customHeight="1">
      <c r="A5" s="638" t="s">
        <v>14</v>
      </c>
      <c r="B5" s="5" t="s">
        <v>422</v>
      </c>
      <c r="C5" s="5" t="s">
        <v>403</v>
      </c>
      <c r="D5" s="6" t="s">
        <v>404</v>
      </c>
      <c r="E5" s="658" t="s">
        <v>413</v>
      </c>
      <c r="F5" s="5" t="s">
        <v>422</v>
      </c>
      <c r="G5" s="1" t="s">
        <v>423</v>
      </c>
      <c r="H5" s="5" t="s">
        <v>415</v>
      </c>
      <c r="I5" s="5" t="s">
        <v>407</v>
      </c>
      <c r="J5" s="5" t="s">
        <v>416</v>
      </c>
      <c r="K5" s="5" t="s">
        <v>9</v>
      </c>
      <c r="L5" s="7">
        <f>SUMIFS(Budget_main!$E$4:$E$65,Budget_main!$A$4:$A$65,B5,Budget_main!$B$4:$B$65,C5)/O5</f>
        <v>6656.8051340835809</v>
      </c>
      <c r="M5" s="7">
        <f>SUMIFS(Budget_main!$G$4:$G$65,Budget_main!$A$4:$A$65,B5,Budget_main!$B$4:$B$65,C5)/P5</f>
        <v>6656.8051340835809</v>
      </c>
      <c r="N5" s="7">
        <f>SUMIFS(Budget_main!$I$4:$I$65,Budget_main!$A$4:$A$65,B5,Budget_main!$B$4:$B$65,C5)/Q5</f>
        <v>6656.80513408358</v>
      </c>
      <c r="O5" s="5">
        <v>5270</v>
      </c>
      <c r="P5" s="5">
        <v>3560</v>
      </c>
      <c r="Q5" s="638">
        <v>2454</v>
      </c>
      <c r="R5" s="5" t="s">
        <v>417</v>
      </c>
      <c r="S5" s="9"/>
      <c r="T5" s="10"/>
      <c r="U5" s="9" t="s">
        <v>418</v>
      </c>
      <c r="V5" s="4" t="s">
        <v>424</v>
      </c>
      <c r="W5" s="4"/>
      <c r="X5" s="4"/>
      <c r="Y5" s="4"/>
      <c r="Z5" s="4"/>
      <c r="AA5" s="4"/>
      <c r="AB5" s="4"/>
    </row>
    <row r="6" spans="1:28" ht="13.5" customHeight="1">
      <c r="A6" s="639" t="s">
        <v>16</v>
      </c>
      <c r="B6" s="11"/>
      <c r="C6" s="14"/>
      <c r="D6" s="6" t="s">
        <v>404</v>
      </c>
      <c r="E6" s="658" t="s">
        <v>413</v>
      </c>
      <c r="F6" s="11" t="s">
        <v>422</v>
      </c>
      <c r="G6" s="12" t="s">
        <v>425</v>
      </c>
      <c r="H6" s="11" t="s">
        <v>415</v>
      </c>
      <c r="I6" s="11" t="s">
        <v>407</v>
      </c>
      <c r="J6" s="11" t="s">
        <v>416</v>
      </c>
      <c r="K6" s="11" t="s">
        <v>9</v>
      </c>
      <c r="L6" s="13"/>
      <c r="M6" s="13"/>
      <c r="N6" s="13"/>
      <c r="O6" s="11"/>
      <c r="P6" s="11"/>
      <c r="Q6" s="639">
        <v>2203</v>
      </c>
      <c r="R6" s="5" t="s">
        <v>417</v>
      </c>
      <c r="S6" s="14"/>
      <c r="T6" s="15"/>
      <c r="U6" s="14" t="s">
        <v>426</v>
      </c>
      <c r="V6" s="4"/>
      <c r="W6" s="4"/>
      <c r="X6" s="4"/>
      <c r="Y6" s="4"/>
      <c r="Z6" s="4"/>
      <c r="AA6" s="4"/>
      <c r="AB6" s="4"/>
    </row>
    <row r="7" spans="1:28" ht="13.5" customHeight="1">
      <c r="A7" s="638" t="s">
        <v>58</v>
      </c>
      <c r="B7" s="5" t="s">
        <v>427</v>
      </c>
      <c r="C7" s="9" t="s">
        <v>403</v>
      </c>
      <c r="D7" s="6" t="s">
        <v>404</v>
      </c>
      <c r="E7" s="657" t="s">
        <v>413</v>
      </c>
      <c r="F7" s="5" t="s">
        <v>427</v>
      </c>
      <c r="G7" s="1" t="s">
        <v>428</v>
      </c>
      <c r="H7" s="5" t="s">
        <v>429</v>
      </c>
      <c r="I7" s="5" t="s">
        <v>407</v>
      </c>
      <c r="J7" s="5" t="s">
        <v>416</v>
      </c>
      <c r="K7" s="5" t="s">
        <v>9</v>
      </c>
      <c r="L7" s="7">
        <f>(Budget_main!E46+Budget_main!G46+Budget_main!I46)/(O7+P7+Q7)</f>
        <v>13233.731859996024</v>
      </c>
      <c r="M7" s="7">
        <f t="shared" ref="M7:M9" si="0">L7</f>
        <v>13233.731859996024</v>
      </c>
      <c r="N7" s="7">
        <f t="shared" ref="N7:N9" si="1">L7</f>
        <v>13233.731859996024</v>
      </c>
      <c r="O7" s="16">
        <v>150</v>
      </c>
      <c r="P7" s="16">
        <v>105</v>
      </c>
      <c r="Q7" s="642">
        <v>75</v>
      </c>
      <c r="R7" s="5" t="s">
        <v>430</v>
      </c>
      <c r="S7" s="14" t="s">
        <v>431</v>
      </c>
      <c r="T7" s="10"/>
      <c r="U7" s="9" t="s">
        <v>418</v>
      </c>
      <c r="V7" s="4"/>
      <c r="W7" s="4"/>
      <c r="X7" s="4"/>
      <c r="Y7" s="4"/>
      <c r="Z7" s="4"/>
      <c r="AA7" s="4"/>
      <c r="AB7" s="4"/>
    </row>
    <row r="8" spans="1:28" ht="13.5" customHeight="1">
      <c r="A8" s="638" t="s">
        <v>66</v>
      </c>
      <c r="B8" s="5" t="s">
        <v>432</v>
      </c>
      <c r="C8" s="5" t="s">
        <v>403</v>
      </c>
      <c r="D8" s="6" t="s">
        <v>404</v>
      </c>
      <c r="E8" s="658" t="s">
        <v>413</v>
      </c>
      <c r="F8" s="5" t="s">
        <v>432</v>
      </c>
      <c r="G8" s="1" t="s">
        <v>433</v>
      </c>
      <c r="H8" s="5" t="s">
        <v>434</v>
      </c>
      <c r="I8" s="5" t="s">
        <v>435</v>
      </c>
      <c r="J8" s="5" t="s">
        <v>416</v>
      </c>
      <c r="K8" s="5" t="s">
        <v>9</v>
      </c>
      <c r="L8" s="7">
        <f>SUMIFS(Budget_main!$E$4:$E$65,Budget_main!$A$4:$A$65,B8,Budget_main!$B$4:$B$65,C8)/O8</f>
        <v>9499.5940291031584</v>
      </c>
      <c r="M8" s="7">
        <f t="shared" si="0"/>
        <v>9499.5940291031584</v>
      </c>
      <c r="N8" s="7">
        <f t="shared" si="1"/>
        <v>9499.5940291031584</v>
      </c>
      <c r="O8" s="5">
        <v>500</v>
      </c>
      <c r="P8" s="5">
        <v>500</v>
      </c>
      <c r="Q8" s="638">
        <v>500</v>
      </c>
      <c r="R8" s="5" t="s">
        <v>436</v>
      </c>
      <c r="S8" s="9"/>
      <c r="T8" s="10"/>
      <c r="U8" s="9" t="s">
        <v>418</v>
      </c>
      <c r="V8" s="4" t="s">
        <v>437</v>
      </c>
      <c r="W8" s="4"/>
      <c r="X8" s="4"/>
      <c r="Y8" s="4"/>
      <c r="Z8" s="4"/>
      <c r="AA8" s="4"/>
      <c r="AB8" s="4"/>
    </row>
    <row r="9" spans="1:28" ht="13.5" customHeight="1">
      <c r="A9" s="638" t="s">
        <v>68</v>
      </c>
      <c r="B9" s="5" t="s">
        <v>438</v>
      </c>
      <c r="C9" s="5" t="s">
        <v>403</v>
      </c>
      <c r="D9" s="6" t="s">
        <v>404</v>
      </c>
      <c r="E9" s="658" t="s">
        <v>413</v>
      </c>
      <c r="F9" s="5" t="s">
        <v>438</v>
      </c>
      <c r="G9" s="1" t="s">
        <v>439</v>
      </c>
      <c r="H9" s="5" t="s">
        <v>434</v>
      </c>
      <c r="I9" s="5" t="s">
        <v>435</v>
      </c>
      <c r="J9" s="5" t="s">
        <v>416</v>
      </c>
      <c r="K9" s="5" t="s">
        <v>9</v>
      </c>
      <c r="L9" s="7">
        <f>SUMIFS(Budget_main!$E$4:$E$65,Budget_main!$A$4:$A$65,B9,Budget_main!$B$4:$B$65,C9)/O9</f>
        <v>7901.4690291031584</v>
      </c>
      <c r="M9" s="7">
        <f t="shared" si="0"/>
        <v>7901.4690291031584</v>
      </c>
      <c r="N9" s="7">
        <f t="shared" si="1"/>
        <v>7901.4690291031584</v>
      </c>
      <c r="O9" s="5">
        <v>500</v>
      </c>
      <c r="P9" s="5">
        <v>500</v>
      </c>
      <c r="Q9" s="638">
        <v>500</v>
      </c>
      <c r="R9" s="5" t="s">
        <v>436</v>
      </c>
      <c r="S9" s="9"/>
      <c r="T9" s="10"/>
      <c r="U9" s="9" t="s">
        <v>418</v>
      </c>
      <c r="V9" s="4" t="s">
        <v>440</v>
      </c>
      <c r="W9" s="4"/>
      <c r="X9" s="4"/>
      <c r="Y9" s="4"/>
      <c r="Z9" s="4"/>
      <c r="AA9" s="4"/>
      <c r="AB9" s="4"/>
    </row>
    <row r="10" spans="1:28" ht="13.5" customHeight="1">
      <c r="A10" s="638" t="s">
        <v>70</v>
      </c>
      <c r="B10" s="5" t="s">
        <v>441</v>
      </c>
      <c r="C10" s="5" t="s">
        <v>403</v>
      </c>
      <c r="D10" s="6" t="s">
        <v>404</v>
      </c>
      <c r="E10" s="658" t="s">
        <v>413</v>
      </c>
      <c r="F10" s="5" t="s">
        <v>441</v>
      </c>
      <c r="G10" s="1" t="s">
        <v>442</v>
      </c>
      <c r="H10" s="5" t="s">
        <v>443</v>
      </c>
      <c r="I10" s="5" t="s">
        <v>435</v>
      </c>
      <c r="J10" s="5" t="s">
        <v>416</v>
      </c>
      <c r="K10" s="5" t="s">
        <v>9</v>
      </c>
      <c r="L10" s="7">
        <f>SUMIFS(Budget_main!$E$4:$E$65,Budget_main!$A$4:$A$65,B10,Budget_main!$B$4:$B$65,C10)/O10</f>
        <v>2909.3315390998991</v>
      </c>
      <c r="M10" s="7">
        <f>SUMIFS(Budget_main!$G$4:$G$65,Budget_main!$A$4:$A$65,B10,Budget_main!$B$4:$B$65,C10)/P10</f>
        <v>2909.3315390998991</v>
      </c>
      <c r="N10" s="7">
        <f>SUMIFS(Budget_main!$I$4:$I$65,Budget_main!$A$4:$A$65,B10,Budget_main!$B$4:$B$65,C10)/Q10</f>
        <v>2909.3315390998991</v>
      </c>
      <c r="O10" s="5">
        <v>200</v>
      </c>
      <c r="P10" s="5">
        <v>200</v>
      </c>
      <c r="Q10" s="638">
        <v>200</v>
      </c>
      <c r="R10" s="5" t="s">
        <v>436</v>
      </c>
      <c r="S10" s="9"/>
      <c r="T10" s="10"/>
      <c r="U10" s="9" t="s">
        <v>418</v>
      </c>
      <c r="V10" s="4" t="s">
        <v>444</v>
      </c>
      <c r="W10" s="4"/>
      <c r="X10" s="4"/>
      <c r="Y10" s="4"/>
      <c r="Z10" s="4"/>
      <c r="AA10" s="4"/>
      <c r="AB10" s="4"/>
    </row>
    <row r="11" spans="1:28" ht="13.5" customHeight="1">
      <c r="A11" s="638" t="s">
        <v>78</v>
      </c>
      <c r="B11" s="5" t="s">
        <v>445</v>
      </c>
      <c r="C11" s="5" t="s">
        <v>403</v>
      </c>
      <c r="D11" s="6" t="s">
        <v>404</v>
      </c>
      <c r="E11" s="658" t="s">
        <v>413</v>
      </c>
      <c r="F11" s="5" t="s">
        <v>446</v>
      </c>
      <c r="G11" s="1" t="s">
        <v>447</v>
      </c>
      <c r="H11" s="5" t="s">
        <v>429</v>
      </c>
      <c r="I11" s="5" t="s">
        <v>407</v>
      </c>
      <c r="J11" s="5" t="s">
        <v>416</v>
      </c>
      <c r="K11" s="5" t="s">
        <v>9</v>
      </c>
      <c r="L11" s="7">
        <f>SUMIFS(Budget_main!$E$4:$E$65,Budget_main!$A$4:$A$65,B11,Budget_main!$B$4:$B$65,C11)/O11</f>
        <v>15572.287960413585</v>
      </c>
      <c r="M11" s="7">
        <f>SUMIFS(Budget_main!$G$4:$G$65,Budget_main!$A$4:$A$65,B11,Budget_main!$B$4:$B$65,C11)/P11</f>
        <v>15572.287960413585</v>
      </c>
      <c r="N11" s="7">
        <f>SUMIFS(Budget_main!$I$4:$I$65,Budget_main!$A$4:$A$65,B11,Budget_main!$B$4:$B$65,C11)/Q11</f>
        <v>15572.287960413585</v>
      </c>
      <c r="O11" s="5">
        <v>100</v>
      </c>
      <c r="P11" s="5">
        <v>100</v>
      </c>
      <c r="Q11" s="638">
        <v>100</v>
      </c>
      <c r="R11" s="5" t="s">
        <v>430</v>
      </c>
      <c r="S11" s="14"/>
      <c r="T11" s="10"/>
      <c r="U11" s="9" t="s">
        <v>418</v>
      </c>
      <c r="V11" s="4"/>
      <c r="W11" s="4"/>
      <c r="X11" s="4"/>
      <c r="Y11" s="4"/>
      <c r="Z11" s="4"/>
      <c r="AA11" s="4"/>
      <c r="AB11" s="4"/>
    </row>
    <row r="12" spans="1:28" ht="13.5" customHeight="1">
      <c r="A12" s="638" t="s">
        <v>18</v>
      </c>
      <c r="B12" s="9" t="s">
        <v>448</v>
      </c>
      <c r="C12" s="9" t="s">
        <v>403</v>
      </c>
      <c r="D12" s="6" t="s">
        <v>449</v>
      </c>
      <c r="E12" s="658" t="s">
        <v>450</v>
      </c>
      <c r="F12" s="5" t="s">
        <v>448</v>
      </c>
      <c r="G12" s="1" t="s">
        <v>451</v>
      </c>
      <c r="H12" s="5" t="s">
        <v>452</v>
      </c>
      <c r="I12" s="5" t="s">
        <v>407</v>
      </c>
      <c r="J12" s="5" t="s">
        <v>416</v>
      </c>
      <c r="K12" s="5" t="s">
        <v>9</v>
      </c>
      <c r="L12" s="7">
        <f>SUMIFS(Budget_main!$E$4:$E$65,Budget_main!$A$4:$A$65,B12,Budget_main!$B$4:$B$65,C12)/O12</f>
        <v>554.31248418898815</v>
      </c>
      <c r="M12" s="7">
        <f>L12</f>
        <v>554.31248418898815</v>
      </c>
      <c r="N12" s="7">
        <f>L12</f>
        <v>554.31248418898815</v>
      </c>
      <c r="O12" s="16">
        <v>6260</v>
      </c>
      <c r="P12" s="16">
        <v>3890</v>
      </c>
      <c r="Q12" s="642">
        <v>2540</v>
      </c>
      <c r="R12" s="5" t="s">
        <v>430</v>
      </c>
      <c r="S12" s="9"/>
      <c r="T12" s="10"/>
      <c r="U12" s="9" t="s">
        <v>418</v>
      </c>
      <c r="V12" s="21" t="s">
        <v>453</v>
      </c>
      <c r="W12" s="4"/>
      <c r="X12" s="4"/>
      <c r="Y12" s="4"/>
      <c r="Z12" s="4"/>
      <c r="AA12" s="4"/>
      <c r="AB12" s="4"/>
    </row>
    <row r="13" spans="1:28" ht="13.5" customHeight="1">
      <c r="A13" s="638" t="s">
        <v>20</v>
      </c>
      <c r="B13" s="5" t="s">
        <v>454</v>
      </c>
      <c r="C13" s="5" t="s">
        <v>403</v>
      </c>
      <c r="D13" s="6" t="s">
        <v>449</v>
      </c>
      <c r="E13" s="658" t="s">
        <v>450</v>
      </c>
      <c r="F13" s="5" t="s">
        <v>454</v>
      </c>
      <c r="G13" s="1" t="s">
        <v>455</v>
      </c>
      <c r="H13" s="5" t="s">
        <v>456</v>
      </c>
      <c r="I13" s="5" t="s">
        <v>435</v>
      </c>
      <c r="J13" s="5" t="s">
        <v>416</v>
      </c>
      <c r="K13" s="5" t="s">
        <v>9</v>
      </c>
      <c r="L13" s="7">
        <f>SUMIFS(Budget_main!$E$4:$E$65,Budget_main!$A$4:$A$65,B13,Budget_main!$B$4:$B$65,C13)/O13</f>
        <v>2469.1758716770923</v>
      </c>
      <c r="M13" s="7">
        <f>SUMIFS(Budget_main!$G$4:$G$65,Budget_main!$A$4:$A$65,B13,Budget_main!$B$4:$B$65,C13)/P13</f>
        <v>2469.1758716770923</v>
      </c>
      <c r="N13" s="7">
        <f>SUMIFS(Budget_main!$I$4:$I$65,Budget_main!$A$4:$A$65,B13,Budget_main!$B$4:$B$65,C13)/Q13</f>
        <v>2469.1758716770923</v>
      </c>
      <c r="O13" s="16">
        <v>1000</v>
      </c>
      <c r="P13" s="16">
        <v>1000</v>
      </c>
      <c r="Q13" s="642">
        <v>1000</v>
      </c>
      <c r="R13" s="5" t="s">
        <v>436</v>
      </c>
      <c r="S13" s="9"/>
      <c r="T13" s="10"/>
      <c r="U13" s="9" t="s">
        <v>418</v>
      </c>
      <c r="V13" s="4" t="s">
        <v>457</v>
      </c>
      <c r="W13" s="4"/>
      <c r="X13" s="4"/>
      <c r="Y13" s="4"/>
      <c r="Z13" s="4"/>
      <c r="AA13" s="4"/>
      <c r="AB13" s="4"/>
    </row>
    <row r="14" spans="1:28" ht="13.5" customHeight="1">
      <c r="A14" s="638" t="s">
        <v>101</v>
      </c>
      <c r="B14" s="5" t="s">
        <v>458</v>
      </c>
      <c r="C14" s="5" t="s">
        <v>403</v>
      </c>
      <c r="D14" s="6" t="s">
        <v>459</v>
      </c>
      <c r="E14" s="659" t="s">
        <v>460</v>
      </c>
      <c r="F14" s="5" t="s">
        <v>458</v>
      </c>
      <c r="G14" s="1" t="s">
        <v>461</v>
      </c>
      <c r="H14" s="5" t="s">
        <v>462</v>
      </c>
      <c r="I14" s="5" t="s">
        <v>435</v>
      </c>
      <c r="J14" s="5" t="s">
        <v>416</v>
      </c>
      <c r="K14" s="5" t="s">
        <v>9</v>
      </c>
      <c r="L14" s="7">
        <f>SUMIFS(Budget_main!$E$4:$E$65,Budget_main!$A$4:$A$65,B14,Budget_main!$B$4:$B$65,C14)/O14</f>
        <v>680.45208953373003</v>
      </c>
      <c r="M14" s="7">
        <f>L14</f>
        <v>680.45208953373003</v>
      </c>
      <c r="N14" s="7">
        <f>L14</f>
        <v>680.45208953373003</v>
      </c>
      <c r="O14" s="16">
        <v>1000</v>
      </c>
      <c r="P14" s="16">
        <v>5000</v>
      </c>
      <c r="Q14" s="642">
        <v>5000</v>
      </c>
      <c r="R14" s="5" t="s">
        <v>436</v>
      </c>
      <c r="S14" s="9"/>
      <c r="T14" s="10"/>
      <c r="U14" s="9" t="s">
        <v>418</v>
      </c>
      <c r="V14" s="4"/>
      <c r="W14" s="4"/>
      <c r="X14" s="4"/>
      <c r="Y14" s="4"/>
      <c r="Z14" s="4"/>
      <c r="AA14" s="4"/>
      <c r="AB14" s="4"/>
    </row>
    <row r="15" spans="1:28" ht="13.5" customHeight="1">
      <c r="A15" s="638" t="s">
        <v>104</v>
      </c>
      <c r="B15" s="5" t="s">
        <v>463</v>
      </c>
      <c r="C15" s="5" t="s">
        <v>403</v>
      </c>
      <c r="D15" s="6" t="s">
        <v>459</v>
      </c>
      <c r="E15" s="659" t="s">
        <v>460</v>
      </c>
      <c r="F15" s="5" t="s">
        <v>463</v>
      </c>
      <c r="G15" s="1" t="s">
        <v>464</v>
      </c>
      <c r="H15" s="5" t="s">
        <v>462</v>
      </c>
      <c r="I15" s="5" t="s">
        <v>435</v>
      </c>
      <c r="J15" s="5" t="s">
        <v>416</v>
      </c>
      <c r="K15" s="5" t="s">
        <v>64</v>
      </c>
      <c r="L15" s="7">
        <f>SUMIFS(Budget_main!$E$4:$E$65,Budget_main!$A$4:$A$65,B15,Budget_main!$B$4:$B$65,C15)/O15</f>
        <v>25052.718932601681</v>
      </c>
      <c r="M15" s="7">
        <f>SUMIFS(Budget_main!$G$4:$G$65,Budget_main!$A$4:$A$65,B15,Budget_main!$B$4:$B$65,C15)/P15</f>
        <v>25052.718932601681</v>
      </c>
      <c r="N15" s="7">
        <f>SUMIFS(Budget_main!$I$4:$I$65,Budget_main!$A$4:$A$65,B15,Budget_main!$B$4:$B$65,C15)/Q15</f>
        <v>25052.718932601681</v>
      </c>
      <c r="O15" s="16">
        <v>35</v>
      </c>
      <c r="P15" s="16">
        <v>35</v>
      </c>
      <c r="Q15" s="642">
        <v>35</v>
      </c>
      <c r="R15" s="5" t="s">
        <v>436</v>
      </c>
      <c r="S15" s="9"/>
      <c r="T15" s="10"/>
      <c r="U15" s="9" t="s">
        <v>418</v>
      </c>
      <c r="V15" s="4"/>
      <c r="W15" s="4"/>
      <c r="X15" s="4"/>
      <c r="Y15" s="4"/>
      <c r="Z15" s="4"/>
      <c r="AA15" s="4"/>
      <c r="AB15" s="4"/>
    </row>
    <row r="16" spans="1:28" ht="13.5" customHeight="1">
      <c r="A16" s="638" t="s">
        <v>22</v>
      </c>
      <c r="B16" s="5" t="s">
        <v>465</v>
      </c>
      <c r="C16" s="5" t="s">
        <v>403</v>
      </c>
      <c r="D16" s="6" t="s">
        <v>459</v>
      </c>
      <c r="E16" s="659" t="s">
        <v>466</v>
      </c>
      <c r="F16" s="5" t="s">
        <v>465</v>
      </c>
      <c r="G16" s="1" t="s">
        <v>467</v>
      </c>
      <c r="H16" s="5" t="s">
        <v>468</v>
      </c>
      <c r="I16" s="5" t="s">
        <v>435</v>
      </c>
      <c r="J16" s="5" t="s">
        <v>416</v>
      </c>
      <c r="K16" s="5" t="s">
        <v>9</v>
      </c>
      <c r="L16" s="7"/>
      <c r="M16" s="7">
        <f>SUMIFS(Budget_main!$G$4:$G$65,Budget_main!$A$4:$A$65,B16,Budget_main!$B$4:$B$65,C16)/P16</f>
        <v>3568.664696119044</v>
      </c>
      <c r="N16" s="7">
        <f>SUMIFS(Budget_main!$I$4:$I$65,Budget_main!$A$4:$A$65,B16,Budget_main!$B$4:$B$65,C16)/Q16</f>
        <v>3568.6646961190454</v>
      </c>
      <c r="O16" s="5"/>
      <c r="P16" s="16">
        <v>40</v>
      </c>
      <c r="Q16" s="642">
        <v>400</v>
      </c>
      <c r="R16" s="5" t="s">
        <v>436</v>
      </c>
      <c r="S16" s="9"/>
      <c r="T16" s="10"/>
      <c r="U16" s="9" t="s">
        <v>418</v>
      </c>
      <c r="V16" s="4"/>
      <c r="W16" s="4"/>
      <c r="X16" s="4"/>
      <c r="Y16" s="4"/>
      <c r="Z16" s="4"/>
      <c r="AA16" s="4"/>
      <c r="AB16" s="4"/>
    </row>
    <row r="17" spans="1:28" ht="13.5" customHeight="1">
      <c r="A17" s="638" t="s">
        <v>106</v>
      </c>
      <c r="B17" s="5" t="s">
        <v>469</v>
      </c>
      <c r="C17" s="5" t="s">
        <v>403</v>
      </c>
      <c r="D17" s="6" t="s">
        <v>459</v>
      </c>
      <c r="E17" s="658" t="s">
        <v>470</v>
      </c>
      <c r="F17" s="5" t="s">
        <v>469</v>
      </c>
      <c r="G17" s="1" t="s">
        <v>471</v>
      </c>
      <c r="H17" s="5" t="s">
        <v>462</v>
      </c>
      <c r="I17" s="5" t="s">
        <v>435</v>
      </c>
      <c r="J17" s="5" t="s">
        <v>416</v>
      </c>
      <c r="K17" s="5" t="s">
        <v>9</v>
      </c>
      <c r="L17" s="7">
        <f>SUMIFS(Budget_main!$E$4:$E$65,Budget_main!$A$4:$A$65,B17,Budget_main!$B$4:$B$65,C17)/O17</f>
        <v>690.4587379092261</v>
      </c>
      <c r="M17" s="7">
        <f>SUMIFS(Budget_main!$G$4:$G$65,Budget_main!$A$4:$A$65,B17,Budget_main!$B$4:$B$65,C17)/P17</f>
        <v>690.4587379092261</v>
      </c>
      <c r="N17" s="7">
        <f>SUMIFS(Budget_main!$I$4:$I$65,Budget_main!$A$4:$A$65,B17,Budget_main!$B$4:$B$65,C17)/Q17</f>
        <v>690.4587379092261</v>
      </c>
      <c r="O17" s="16">
        <v>2000</v>
      </c>
      <c r="P17" s="16">
        <v>2000</v>
      </c>
      <c r="Q17" s="642">
        <v>2000</v>
      </c>
      <c r="R17" s="5" t="s">
        <v>436</v>
      </c>
      <c r="S17" s="9"/>
      <c r="T17" s="10"/>
      <c r="U17" s="9" t="s">
        <v>418</v>
      </c>
      <c r="V17" s="4"/>
      <c r="W17" s="4"/>
      <c r="X17" s="4"/>
      <c r="Y17" s="4"/>
      <c r="Z17" s="4"/>
      <c r="AA17" s="4"/>
      <c r="AB17" s="4"/>
    </row>
    <row r="18" spans="1:28" ht="13.5" customHeight="1">
      <c r="A18" s="638" t="s">
        <v>24</v>
      </c>
      <c r="B18" s="5" t="s">
        <v>472</v>
      </c>
      <c r="C18" s="5" t="s">
        <v>403</v>
      </c>
      <c r="D18" s="660" t="s">
        <v>473</v>
      </c>
      <c r="E18" s="661" t="s">
        <v>474</v>
      </c>
      <c r="F18" s="5" t="s">
        <v>472</v>
      </c>
      <c r="G18" s="1" t="s">
        <v>475</v>
      </c>
      <c r="H18" s="5" t="s">
        <v>476</v>
      </c>
      <c r="I18" s="5" t="s">
        <v>407</v>
      </c>
      <c r="J18" s="5" t="s">
        <v>416</v>
      </c>
      <c r="K18" s="5" t="s">
        <v>9</v>
      </c>
      <c r="L18" s="7">
        <f>SUMIFS(Budget_main!$E$4:$E$65,Budget_main!$A$4:$A$65,B18,Budget_main!$B$4:$B$65,C18)/O18</f>
        <v>1522.7412267480022</v>
      </c>
      <c r="M18" s="7">
        <f>SUMIFS(Budget_main!$G$4:$G$65,Budget_main!$A$4:$A$65,B18,Budget_main!$B$4:$B$65,C18)/P18</f>
        <v>1522.7412267480022</v>
      </c>
      <c r="N18" s="7">
        <f>SUMIFS(Budget_main!$I$4:$I$65,Budget_main!$A$4:$A$65,B18,Budget_main!$B$4:$B$65,C18)/Q18</f>
        <v>1522.7412267480022</v>
      </c>
      <c r="O18" s="16">
        <v>1260</v>
      </c>
      <c r="P18" s="16">
        <v>1800</v>
      </c>
      <c r="Q18" s="642">
        <v>1800</v>
      </c>
      <c r="R18" s="5" t="s">
        <v>477</v>
      </c>
      <c r="S18" s="11" t="s">
        <v>478</v>
      </c>
      <c r="T18" s="10"/>
      <c r="U18" s="9" t="s">
        <v>418</v>
      </c>
      <c r="V18" s="4" t="s">
        <v>479</v>
      </c>
      <c r="W18" s="4"/>
      <c r="X18" s="4"/>
      <c r="Y18" s="4"/>
      <c r="Z18" s="4"/>
      <c r="AA18" s="4"/>
      <c r="AB18" s="4"/>
    </row>
    <row r="19" spans="1:28" ht="13.5" customHeight="1">
      <c r="A19" s="638" t="s">
        <v>26</v>
      </c>
      <c r="B19" s="5" t="s">
        <v>480</v>
      </c>
      <c r="C19" s="5" t="s">
        <v>403</v>
      </c>
      <c r="D19" s="6" t="s">
        <v>481</v>
      </c>
      <c r="E19" s="659" t="s">
        <v>482</v>
      </c>
      <c r="F19" s="5" t="s">
        <v>480</v>
      </c>
      <c r="G19" s="1" t="s">
        <v>483</v>
      </c>
      <c r="H19" s="5" t="s">
        <v>476</v>
      </c>
      <c r="I19" s="5" t="s">
        <v>435</v>
      </c>
      <c r="J19" s="5" t="s">
        <v>416</v>
      </c>
      <c r="K19" s="5" t="s">
        <v>9</v>
      </c>
      <c r="L19" s="7">
        <f>SUMIFS(Budget_main!$E$4:$E$65,Budget_main!$A$4:$A$65,B19,Budget_main!$B$4:$B$65,C19)/O19</f>
        <v>336.31648375496025</v>
      </c>
      <c r="M19" s="7">
        <f>SUMIFS(Budget_main!$G$4:$G$65,Budget_main!$A$4:$A$65,B19,Budget_main!$B$4:$B$65,C19)/P19</f>
        <v>336.31648375496025</v>
      </c>
      <c r="N19" s="7">
        <f>SUMIFS(Budget_main!$I$4:$I$65,Budget_main!$A$4:$A$65,B19,Budget_main!$B$4:$B$65,C19)/Q19</f>
        <v>336.31648375496025</v>
      </c>
      <c r="O19" s="16">
        <v>21000</v>
      </c>
      <c r="P19" s="16">
        <v>18000</v>
      </c>
      <c r="Q19" s="642">
        <v>18000</v>
      </c>
      <c r="R19" s="5" t="s">
        <v>436</v>
      </c>
      <c r="S19" s="9"/>
      <c r="T19" s="10"/>
      <c r="U19" s="9" t="s">
        <v>418</v>
      </c>
      <c r="V19" s="4"/>
      <c r="W19" s="4"/>
      <c r="X19" s="4"/>
      <c r="Y19" s="4"/>
      <c r="Z19" s="4"/>
      <c r="AA19" s="4"/>
      <c r="AB19" s="4"/>
    </row>
    <row r="20" spans="1:28" ht="13.5" customHeight="1">
      <c r="A20" s="638" t="s">
        <v>28</v>
      </c>
      <c r="B20" s="9" t="s">
        <v>484</v>
      </c>
      <c r="C20" s="9" t="s">
        <v>403</v>
      </c>
      <c r="D20" s="660" t="s">
        <v>473</v>
      </c>
      <c r="E20" s="659" t="s">
        <v>474</v>
      </c>
      <c r="F20" s="5" t="s">
        <v>484</v>
      </c>
      <c r="G20" s="1" t="s">
        <v>485</v>
      </c>
      <c r="H20" s="5" t="s">
        <v>486</v>
      </c>
      <c r="I20" s="5" t="s">
        <v>407</v>
      </c>
      <c r="J20" s="5" t="s">
        <v>416</v>
      </c>
      <c r="K20" s="5" t="s">
        <v>9</v>
      </c>
      <c r="L20" s="7">
        <f>SUMIFS(Budget_main!$E$4:$E$65,Budget_main!$A$4:$A$65,B20,Budget_main!$B$4:$B$65,C20)/O20</f>
        <v>3187.4467075892853</v>
      </c>
      <c r="M20" s="7">
        <f>SUMIFS(Budget_main!$G$4:$G$65,Budget_main!$A$4:$A$65,B20,Budget_main!$B$4:$B$65,C20)/P20</f>
        <v>3187.4467075892858</v>
      </c>
      <c r="N20" s="7">
        <f>SUMIFS(Budget_main!$I$4:$I$65,Budget_main!$A$4:$A$65,B20,Budget_main!$B$4:$B$65,C20)/Q20</f>
        <v>3187.4467075892858</v>
      </c>
      <c r="O20" s="16">
        <v>4133</v>
      </c>
      <c r="P20" s="16">
        <v>4268</v>
      </c>
      <c r="Q20" s="642">
        <v>4403</v>
      </c>
      <c r="R20" s="5" t="s">
        <v>487</v>
      </c>
      <c r="S20" s="9"/>
      <c r="T20" s="10"/>
      <c r="U20" s="9" t="s">
        <v>418</v>
      </c>
      <c r="V20" s="4" t="s">
        <v>488</v>
      </c>
      <c r="W20" s="4"/>
      <c r="X20" s="4"/>
      <c r="Y20" s="4"/>
      <c r="Z20" s="4"/>
      <c r="AA20" s="4"/>
      <c r="AB20" s="4"/>
    </row>
    <row r="21" spans="1:28" ht="13.5" customHeight="1">
      <c r="A21" s="638" t="s">
        <v>60</v>
      </c>
      <c r="B21" s="5" t="s">
        <v>489</v>
      </c>
      <c r="C21" s="5" t="s">
        <v>403</v>
      </c>
      <c r="D21" s="660" t="s">
        <v>473</v>
      </c>
      <c r="E21" s="659" t="s">
        <v>474</v>
      </c>
      <c r="F21" s="5" t="s">
        <v>489</v>
      </c>
      <c r="G21" s="1" t="s">
        <v>490</v>
      </c>
      <c r="H21" s="5" t="s">
        <v>491</v>
      </c>
      <c r="I21" s="5" t="s">
        <v>407</v>
      </c>
      <c r="J21" s="5" t="s">
        <v>416</v>
      </c>
      <c r="K21" s="5" t="s">
        <v>9</v>
      </c>
      <c r="L21" s="7">
        <f>SUMIFS(Budget_main!$E$4:$E$65,Budget_main!$A$4:$A$65,B21,Budget_main!$B$4:$B$65,C21)/O21</f>
        <v>10179.073727432527</v>
      </c>
      <c r="M21" s="7">
        <f>SUMIFS(Budget_main!$G$4:$G$65,Budget_main!$A$4:$A$65,B21,Budget_main!$B$4:$B$65,C21)/P21</f>
        <v>10179.073727432527</v>
      </c>
      <c r="N21" s="7">
        <f>SUMIFS(Budget_main!$I$4:$I$65,Budget_main!$A$4:$A$65,B21,Budget_main!$B$4:$B$65,C21)/Q21</f>
        <v>10179.073727432527</v>
      </c>
      <c r="O21" s="16">
        <v>550</v>
      </c>
      <c r="P21" s="16">
        <v>550</v>
      </c>
      <c r="Q21" s="642">
        <v>550</v>
      </c>
      <c r="R21" s="5" t="s">
        <v>477</v>
      </c>
      <c r="S21" s="9"/>
      <c r="T21" s="10"/>
      <c r="U21" s="9" t="s">
        <v>418</v>
      </c>
      <c r="V21" s="4"/>
      <c r="W21" s="4"/>
      <c r="X21" s="4"/>
      <c r="Y21" s="4"/>
      <c r="Z21" s="4"/>
      <c r="AA21" s="4"/>
      <c r="AB21" s="4"/>
    </row>
    <row r="22" spans="1:28" ht="13.5" customHeight="1">
      <c r="A22" s="638" t="s">
        <v>122</v>
      </c>
      <c r="B22" s="5" t="s">
        <v>492</v>
      </c>
      <c r="C22" s="5" t="s">
        <v>403</v>
      </c>
      <c r="D22" s="660" t="s">
        <v>473</v>
      </c>
      <c r="E22" s="659" t="s">
        <v>474</v>
      </c>
      <c r="F22" s="5" t="s">
        <v>492</v>
      </c>
      <c r="G22" s="1" t="s">
        <v>493</v>
      </c>
      <c r="H22" s="5" t="s">
        <v>494</v>
      </c>
      <c r="I22" s="5" t="s">
        <v>407</v>
      </c>
      <c r="J22" s="5" t="s">
        <v>416</v>
      </c>
      <c r="K22" s="5" t="s">
        <v>409</v>
      </c>
      <c r="L22" s="7">
        <f>SUMIFS(Budget_main!$E$4:$E$65,Budget_main!$A$4:$A$65,B22,Budget_main!$B$4:$B$65,C22)/O22</f>
        <v>2252398.7730192309</v>
      </c>
      <c r="M22" s="7">
        <f>SUMIFS(Budget_main!$G$4:$G$65,Budget_main!$A$4:$A$65,B22,Budget_main!$B$4:$B$65,C22)/P22</f>
        <v>2252398.7730192309</v>
      </c>
      <c r="N22" s="7">
        <f>SUMIFS(Budget_main!$I$4:$I$65,Budget_main!$A$4:$A$65,B22,Budget_main!$B$4:$B$65,C22)/Q22</f>
        <v>2252398.7730192309</v>
      </c>
      <c r="O22" s="5">
        <v>1</v>
      </c>
      <c r="P22" s="5">
        <v>1</v>
      </c>
      <c r="Q22" s="638">
        <v>1</v>
      </c>
      <c r="R22" s="5" t="s">
        <v>477</v>
      </c>
      <c r="S22" s="9"/>
      <c r="T22" s="9"/>
      <c r="U22" s="14" t="s">
        <v>495</v>
      </c>
      <c r="V22" s="4"/>
      <c r="W22" s="4"/>
      <c r="X22" s="4"/>
      <c r="Y22" s="4"/>
      <c r="Z22" s="4"/>
      <c r="AA22" s="4"/>
      <c r="AB22" s="4"/>
    </row>
    <row r="23" spans="1:28" ht="13.5" customHeight="1">
      <c r="A23" s="638" t="s">
        <v>30</v>
      </c>
      <c r="B23" s="9" t="s">
        <v>496</v>
      </c>
      <c r="C23" s="9" t="s">
        <v>403</v>
      </c>
      <c r="D23" s="6" t="s">
        <v>473</v>
      </c>
      <c r="E23" s="659" t="s">
        <v>497</v>
      </c>
      <c r="F23" s="5" t="s">
        <v>496</v>
      </c>
      <c r="G23" s="1" t="s">
        <v>498</v>
      </c>
      <c r="H23" s="5" t="s">
        <v>486</v>
      </c>
      <c r="I23" s="5" t="s">
        <v>407</v>
      </c>
      <c r="J23" s="5" t="s">
        <v>416</v>
      </c>
      <c r="K23" s="5" t="s">
        <v>9</v>
      </c>
      <c r="L23" s="7">
        <f>SUMIFS(Budget_main!$E$4:$E$65,Budget_main!$A$4:$A$65,B23,Budget_main!$B$4:$B$65,C23)/O23</f>
        <v>2350.6515407986112</v>
      </c>
      <c r="M23" s="7">
        <f>SUMIFS(Budget_main!$G$4:$G$65,Budget_main!$A$4:$A$65,B23,Budget_main!$B$4:$B$65,C23)/P23</f>
        <v>2350.6515407986112</v>
      </c>
      <c r="N23" s="7">
        <f>SUMIFS(Budget_main!$I$4:$I$65,Budget_main!$A$4:$A$65,B23,Budget_main!$B$4:$B$65,C23)/Q23</f>
        <v>2350.6515407986112</v>
      </c>
      <c r="O23" s="16">
        <v>3000</v>
      </c>
      <c r="P23" s="16">
        <v>3000</v>
      </c>
      <c r="Q23" s="642">
        <v>3000</v>
      </c>
      <c r="R23" s="5" t="s">
        <v>487</v>
      </c>
      <c r="S23" s="9"/>
      <c r="T23" s="10"/>
      <c r="U23" s="9" t="s">
        <v>418</v>
      </c>
      <c r="V23" s="4" t="s">
        <v>499</v>
      </c>
      <c r="W23" s="4"/>
      <c r="X23" s="4"/>
      <c r="Y23" s="4"/>
      <c r="Z23" s="4"/>
      <c r="AA23" s="4"/>
      <c r="AB23" s="4"/>
    </row>
    <row r="24" spans="1:28" ht="13.5" customHeight="1">
      <c r="A24" s="638" t="s">
        <v>32</v>
      </c>
      <c r="B24" s="5" t="s">
        <v>500</v>
      </c>
      <c r="C24" s="5" t="s">
        <v>403</v>
      </c>
      <c r="D24" s="660" t="s">
        <v>473</v>
      </c>
      <c r="E24" s="659" t="s">
        <v>474</v>
      </c>
      <c r="F24" s="5" t="s">
        <v>500</v>
      </c>
      <c r="G24" s="1" t="s">
        <v>501</v>
      </c>
      <c r="H24" s="5" t="s">
        <v>476</v>
      </c>
      <c r="I24" s="5" t="s">
        <v>407</v>
      </c>
      <c r="J24" s="5" t="s">
        <v>416</v>
      </c>
      <c r="K24" s="5" t="s">
        <v>9</v>
      </c>
      <c r="L24" s="7">
        <f>SUMIFS(Budget_main!$E$4:$E$65,Budget_main!$A$4:$A$65,B24,Budget_main!$B$4:$B$65,C24)/O24</f>
        <v>2178.5438213045636</v>
      </c>
      <c r="M24" s="7">
        <f>SUMIFS(Budget_main!$G$4:$G$65,Budget_main!$A$4:$A$65,B24,Budget_main!$B$4:$B$65,C24)/P24</f>
        <v>2178.5438213045636</v>
      </c>
      <c r="N24" s="7">
        <f>SUMIFS(Budget_main!$I$4:$I$65,Budget_main!$A$4:$A$65,B24,Budget_main!$B$4:$B$65,C24)/Q24</f>
        <v>2178.5438213045636</v>
      </c>
      <c r="O24" s="16">
        <v>2596</v>
      </c>
      <c r="P24" s="16">
        <v>2596</v>
      </c>
      <c r="Q24" s="642">
        <v>2596</v>
      </c>
      <c r="R24" s="5" t="s">
        <v>487</v>
      </c>
      <c r="S24" s="9"/>
      <c r="T24" s="10"/>
      <c r="U24" s="9" t="s">
        <v>418</v>
      </c>
      <c r="V24" s="4" t="s">
        <v>502</v>
      </c>
      <c r="W24" s="4"/>
      <c r="X24" s="4"/>
      <c r="Y24" s="4"/>
      <c r="Z24" s="4"/>
      <c r="AA24" s="4"/>
      <c r="AB24" s="4"/>
    </row>
    <row r="25" spans="1:28" ht="13.5" customHeight="1">
      <c r="A25" s="638" t="s">
        <v>119</v>
      </c>
      <c r="B25" s="5" t="s">
        <v>503</v>
      </c>
      <c r="C25" s="5" t="s">
        <v>403</v>
      </c>
      <c r="D25" s="660" t="s">
        <v>473</v>
      </c>
      <c r="E25" s="659" t="s">
        <v>474</v>
      </c>
      <c r="F25" s="5" t="s">
        <v>503</v>
      </c>
      <c r="G25" s="1" t="s">
        <v>504</v>
      </c>
      <c r="H25" s="5" t="s">
        <v>494</v>
      </c>
      <c r="I25" s="5" t="s">
        <v>407</v>
      </c>
      <c r="J25" s="5" t="s">
        <v>416</v>
      </c>
      <c r="K25" s="5" t="s">
        <v>409</v>
      </c>
      <c r="L25" s="7">
        <f>SUMIFS(Budget_main!$E$4:$E$65,Budget_main!$A$4:$A$65,B25,Budget_main!$B$4:$B$65,C25)/O25</f>
        <v>2791968.6546034557</v>
      </c>
      <c r="M25" s="7">
        <f>SUMIFS(Budget_main!$G$4:$G$65,Budget_main!$A$4:$A$65,B25,Budget_main!$B$4:$B$65,C25)/P25</f>
        <v>2791968.6546034557</v>
      </c>
      <c r="N25" s="7">
        <f>SUMIFS(Budget_main!$I$4:$I$65,Budget_main!$A$4:$A$65,B25,Budget_main!$B$4:$B$65,C25)/Q25</f>
        <v>2791968.6546034557</v>
      </c>
      <c r="O25" s="5">
        <v>1</v>
      </c>
      <c r="P25" s="5">
        <v>1</v>
      </c>
      <c r="Q25" s="638">
        <v>1</v>
      </c>
      <c r="R25" s="5" t="s">
        <v>417</v>
      </c>
      <c r="S25" s="9"/>
      <c r="T25" s="9"/>
      <c r="U25" s="9" t="s">
        <v>418</v>
      </c>
      <c r="V25" s="4"/>
      <c r="W25" s="4"/>
      <c r="X25" s="4"/>
      <c r="Y25" s="4"/>
      <c r="Z25" s="4"/>
      <c r="AA25" s="4"/>
      <c r="AB25" s="4"/>
    </row>
    <row r="26" spans="1:28" ht="13.5" customHeight="1">
      <c r="A26" s="638" t="s">
        <v>34</v>
      </c>
      <c r="B26" s="5" t="s">
        <v>505</v>
      </c>
      <c r="C26" s="5" t="s">
        <v>403</v>
      </c>
      <c r="D26" s="660" t="s">
        <v>473</v>
      </c>
      <c r="E26" s="659" t="s">
        <v>474</v>
      </c>
      <c r="F26" s="5" t="s">
        <v>505</v>
      </c>
      <c r="G26" s="1" t="s">
        <v>506</v>
      </c>
      <c r="H26" s="5" t="s">
        <v>476</v>
      </c>
      <c r="I26" s="5" t="s">
        <v>435</v>
      </c>
      <c r="J26" s="5" t="s">
        <v>416</v>
      </c>
      <c r="K26" s="5" t="s">
        <v>9</v>
      </c>
      <c r="L26" s="7">
        <f>SUMIFS(Budget_main!$E$4:$E$65,Budget_main!$A$4:$A$65,B26,Budget_main!$B$4:$B$65,C26)/O26</f>
        <v>1477.8871760505913</v>
      </c>
      <c r="M26" s="7">
        <f>SUMIFS(Budget_main!$G$4:$G$65,Budget_main!$A$4:$A$65,B26,Budget_main!$B$4:$B$65,C26)/P26</f>
        <v>1477.8871760505913</v>
      </c>
      <c r="N26" s="7">
        <f>SUMIFS(Budget_main!$I$4:$I$65,Budget_main!$A$4:$A$65,B26,Budget_main!$B$4:$B$65,C26)/Q26</f>
        <v>470.23682874336998</v>
      </c>
      <c r="O26" s="16">
        <v>700</v>
      </c>
      <c r="P26" s="16">
        <v>700</v>
      </c>
      <c r="Q26" s="642">
        <f>700+1500</f>
        <v>2200</v>
      </c>
      <c r="R26" s="5" t="s">
        <v>436</v>
      </c>
      <c r="S26" s="9"/>
      <c r="T26" s="10"/>
      <c r="U26" s="14" t="s">
        <v>507</v>
      </c>
      <c r="V26" s="4"/>
      <c r="W26" s="4"/>
      <c r="X26" s="4"/>
      <c r="Y26" s="4"/>
      <c r="Z26" s="4"/>
      <c r="AA26" s="4"/>
      <c r="AB26" s="4"/>
    </row>
    <row r="27" spans="1:28" ht="13.5" customHeight="1">
      <c r="A27" s="638" t="s">
        <v>62</v>
      </c>
      <c r="B27" s="5"/>
      <c r="C27" s="5" t="s">
        <v>403</v>
      </c>
      <c r="D27" s="17" t="s">
        <v>508</v>
      </c>
      <c r="E27" s="18" t="s">
        <v>509</v>
      </c>
      <c r="F27" s="5" t="s">
        <v>510</v>
      </c>
      <c r="G27" s="5" t="s">
        <v>511</v>
      </c>
      <c r="H27" s="5" t="s">
        <v>512</v>
      </c>
      <c r="I27" s="5" t="s">
        <v>513</v>
      </c>
      <c r="J27" s="5" t="s">
        <v>416</v>
      </c>
      <c r="K27" s="5" t="s">
        <v>64</v>
      </c>
      <c r="L27" s="7"/>
      <c r="M27" s="7">
        <f>Assumptions_C19RM!$I$122</f>
        <v>60200</v>
      </c>
      <c r="N27" s="7"/>
      <c r="O27" s="5"/>
      <c r="P27" s="5">
        <v>45</v>
      </c>
      <c r="Q27" s="638">
        <v>43</v>
      </c>
      <c r="R27" s="5" t="s">
        <v>436</v>
      </c>
      <c r="S27" s="9" t="s">
        <v>514</v>
      </c>
      <c r="T27" s="19" t="s">
        <v>515</v>
      </c>
      <c r="U27" s="20" t="s">
        <v>418</v>
      </c>
      <c r="V27" s="21" t="s">
        <v>516</v>
      </c>
      <c r="W27" s="4"/>
      <c r="X27" s="4"/>
      <c r="Y27" s="4"/>
      <c r="Z27" s="4"/>
      <c r="AA27" s="4"/>
      <c r="AB27" s="4"/>
    </row>
    <row r="28" spans="1:28" ht="13.5" customHeight="1">
      <c r="A28" s="638" t="s">
        <v>36</v>
      </c>
      <c r="B28" s="9" t="s">
        <v>517</v>
      </c>
      <c r="C28" s="9" t="s">
        <v>403</v>
      </c>
      <c r="D28" s="660" t="s">
        <v>473</v>
      </c>
      <c r="E28" s="659" t="s">
        <v>474</v>
      </c>
      <c r="F28" s="5" t="s">
        <v>517</v>
      </c>
      <c r="G28" s="1" t="s">
        <v>518</v>
      </c>
      <c r="H28" s="5" t="s">
        <v>519</v>
      </c>
      <c r="I28" s="5" t="s">
        <v>435</v>
      </c>
      <c r="J28" s="5" t="s">
        <v>416</v>
      </c>
      <c r="K28" s="5" t="s">
        <v>9</v>
      </c>
      <c r="L28" s="7">
        <f>SUMIFS(Budget_main!$E$4:$E$65,Budget_main!$A$4:$A$65,B28,Budget_main!$B$4:$B$65,C28)/O28</f>
        <v>2994.4637315858072</v>
      </c>
      <c r="M28" s="7">
        <f>SUMIFS(Budget_main!$G$4:$G$65,Budget_main!$A$4:$A$65,B28,Budget_main!$B$4:$B$65,C28)/P28</f>
        <v>2994.4637315858072</v>
      </c>
      <c r="N28" s="7">
        <f>SUMIFS(Budget_main!$I$4:$I$65,Budget_main!$A$4:$A$65,B28,Budget_main!$B$4:$B$65,C28)/Q28</f>
        <v>1996.3091543905382</v>
      </c>
      <c r="O28" s="16">
        <v>400</v>
      </c>
      <c r="P28" s="16">
        <v>400</v>
      </c>
      <c r="Q28" s="642">
        <f>400+200</f>
        <v>600</v>
      </c>
      <c r="R28" s="5" t="s">
        <v>436</v>
      </c>
      <c r="S28" s="9"/>
      <c r="T28" s="10"/>
      <c r="U28" s="14" t="s">
        <v>520</v>
      </c>
      <c r="V28" s="4"/>
      <c r="W28" s="4"/>
      <c r="X28" s="4"/>
      <c r="Y28" s="4"/>
      <c r="Z28" s="4"/>
      <c r="AA28" s="4"/>
      <c r="AB28" s="4"/>
    </row>
    <row r="29" spans="1:28" ht="13.5" customHeight="1">
      <c r="A29" s="638" t="s">
        <v>38</v>
      </c>
      <c r="B29" s="5" t="s">
        <v>521</v>
      </c>
      <c r="C29" s="5" t="s">
        <v>403</v>
      </c>
      <c r="D29" s="660" t="s">
        <v>473</v>
      </c>
      <c r="E29" s="659" t="s">
        <v>522</v>
      </c>
      <c r="F29" s="5" t="s">
        <v>521</v>
      </c>
      <c r="G29" s="1" t="s">
        <v>523</v>
      </c>
      <c r="H29" s="5" t="s">
        <v>486</v>
      </c>
      <c r="I29" s="5" t="s">
        <v>407</v>
      </c>
      <c r="J29" s="5" t="s">
        <v>416</v>
      </c>
      <c r="K29" s="5" t="s">
        <v>9</v>
      </c>
      <c r="L29" s="7">
        <f>SUMIFS(Budget_main!$E$4:$E$65,Budget_main!$A$4:$A$65,B29,Budget_main!$B$4:$B$65,C29)/O29</f>
        <v>450.29917689732139</v>
      </c>
      <c r="M29" s="7">
        <f>SUMIFS(Budget_main!$G$4:$G$65,Budget_main!$A$4:$A$65,B29,Budget_main!$B$4:$B$65,C29)/P29</f>
        <v>450.29917689732133</v>
      </c>
      <c r="N29" s="7">
        <f>SUMIFS(Budget_main!$I$4:$I$65,Budget_main!$A$4:$A$65,B29,Budget_main!$B$4:$B$65,C29)/Q29</f>
        <v>450.29917689732127</v>
      </c>
      <c r="O29" s="16">
        <v>5312</v>
      </c>
      <c r="P29" s="16">
        <v>5376</v>
      </c>
      <c r="Q29" s="642">
        <v>5440</v>
      </c>
      <c r="R29" s="22" t="s">
        <v>524</v>
      </c>
      <c r="S29" s="11"/>
      <c r="T29" s="10"/>
      <c r="U29" s="9" t="s">
        <v>418</v>
      </c>
      <c r="V29" s="4" t="s">
        <v>525</v>
      </c>
      <c r="W29" s="4"/>
      <c r="X29" s="4"/>
      <c r="Y29" s="4"/>
      <c r="Z29" s="4"/>
      <c r="AA29" s="4"/>
      <c r="AB29" s="4"/>
    </row>
    <row r="30" spans="1:28" ht="13.5" customHeight="1">
      <c r="A30" s="643" t="s">
        <v>82</v>
      </c>
      <c r="B30" s="23" t="s">
        <v>526</v>
      </c>
      <c r="C30" s="23" t="s">
        <v>403</v>
      </c>
      <c r="D30" s="660" t="s">
        <v>473</v>
      </c>
      <c r="E30" s="659" t="s">
        <v>527</v>
      </c>
      <c r="F30" s="23" t="s">
        <v>526</v>
      </c>
      <c r="G30" s="3" t="s">
        <v>528</v>
      </c>
      <c r="H30" s="23" t="s">
        <v>529</v>
      </c>
      <c r="I30" s="23" t="s">
        <v>407</v>
      </c>
      <c r="J30" s="23" t="s">
        <v>416</v>
      </c>
      <c r="K30" s="23" t="s">
        <v>9</v>
      </c>
      <c r="L30" s="24">
        <f>SUMIFS(Budget_main!$E$4:$E$65,Budget_main!$A$4:$A$65,B30,Budget_main!$B$4:$B$65,C30)/O30</f>
        <v>2007.7127480158726</v>
      </c>
      <c r="M30" s="24">
        <f>SUMIFS(Budget_main!$G$4:$G$65,Budget_main!$A$4:$A$65,B30,Budget_main!$B$4:$B$65,C30)/P30</f>
        <v>2007.7127480158726</v>
      </c>
      <c r="N30" s="24">
        <f>SUMIFS(Budget_main!$I$4:$I$65,Budget_main!$A$4:$A$65,B30,Budget_main!$B$4:$B$65,C30)/Q30</f>
        <v>2007.7127480158726</v>
      </c>
      <c r="O30" s="25">
        <v>1000</v>
      </c>
      <c r="P30" s="25">
        <v>1000</v>
      </c>
      <c r="Q30" s="644">
        <v>1000</v>
      </c>
      <c r="R30" s="23" t="s">
        <v>524</v>
      </c>
      <c r="S30" s="9"/>
      <c r="T30" s="10"/>
      <c r="U30" s="9" t="s">
        <v>418</v>
      </c>
      <c r="V30" s="4"/>
      <c r="W30" s="4"/>
      <c r="X30" s="4"/>
      <c r="Y30" s="4"/>
      <c r="Z30" s="4"/>
      <c r="AA30" s="4"/>
      <c r="AB30" s="4"/>
    </row>
    <row r="31" spans="1:28" ht="13.5" customHeight="1">
      <c r="A31" s="638" t="s">
        <v>40</v>
      </c>
      <c r="B31" s="5" t="s">
        <v>530</v>
      </c>
      <c r="C31" s="5" t="s">
        <v>403</v>
      </c>
      <c r="D31" s="660" t="s">
        <v>473</v>
      </c>
      <c r="E31" s="659" t="s">
        <v>527</v>
      </c>
      <c r="F31" s="5" t="s">
        <v>530</v>
      </c>
      <c r="G31" s="1" t="s">
        <v>531</v>
      </c>
      <c r="H31" s="5" t="s">
        <v>532</v>
      </c>
      <c r="I31" s="5" t="s">
        <v>435</v>
      </c>
      <c r="J31" s="5" t="s">
        <v>416</v>
      </c>
      <c r="K31" s="5" t="s">
        <v>9</v>
      </c>
      <c r="L31" s="7">
        <f>SUMIFS(Budget_main!$E$4:$E$65,Budget_main!$A$4:$A$65,B31,Budget_main!$B$4:$B$65,C31)/O31</f>
        <v>2955.6058136577367</v>
      </c>
      <c r="M31" s="7">
        <f>SUMIFS(Budget_main!$G$4:$G$65,Budget_main!$A$4:$A$65,B31,Budget_main!$B$4:$B$65,C31)/P31</f>
        <v>2955.6058136577367</v>
      </c>
      <c r="N31" s="7">
        <f>SUMIFS(Budget_main!$I$4:$I$65,Budget_main!$A$4:$A$65,B31,Budget_main!$B$4:$B$65,C31)/Q31</f>
        <v>2955.6058136577367</v>
      </c>
      <c r="O31" s="16">
        <v>350</v>
      </c>
      <c r="P31" s="16">
        <v>350</v>
      </c>
      <c r="Q31" s="642">
        <v>300</v>
      </c>
      <c r="R31" s="5" t="s">
        <v>436</v>
      </c>
      <c r="S31" s="9"/>
      <c r="T31" s="10"/>
      <c r="U31" s="9" t="s">
        <v>418</v>
      </c>
      <c r="V31" s="4"/>
      <c r="W31" s="4"/>
      <c r="X31" s="4"/>
      <c r="Y31" s="4"/>
      <c r="Z31" s="4"/>
      <c r="AA31" s="4"/>
      <c r="AB31" s="4"/>
    </row>
    <row r="32" spans="1:28" ht="13.5" customHeight="1">
      <c r="A32" s="639" t="s">
        <v>533</v>
      </c>
      <c r="B32" s="11"/>
      <c r="C32" s="11"/>
      <c r="D32" s="660" t="s">
        <v>473</v>
      </c>
      <c r="E32" s="659" t="s">
        <v>527</v>
      </c>
      <c r="F32" s="11" t="s">
        <v>530</v>
      </c>
      <c r="G32" s="12" t="s">
        <v>534</v>
      </c>
      <c r="H32" s="11" t="s">
        <v>456</v>
      </c>
      <c r="I32" s="11" t="s">
        <v>435</v>
      </c>
      <c r="J32" s="11" t="s">
        <v>416</v>
      </c>
      <c r="K32" s="11" t="s">
        <v>9</v>
      </c>
      <c r="L32" s="13"/>
      <c r="M32" s="7"/>
      <c r="N32" s="7"/>
      <c r="O32" s="16"/>
      <c r="P32" s="16"/>
      <c r="Q32" s="642">
        <v>300</v>
      </c>
      <c r="R32" s="5" t="s">
        <v>535</v>
      </c>
      <c r="S32" s="9"/>
      <c r="T32" s="10"/>
      <c r="U32" s="14" t="s">
        <v>536</v>
      </c>
      <c r="V32" s="4"/>
      <c r="W32" s="4"/>
      <c r="X32" s="4"/>
      <c r="Y32" s="4"/>
      <c r="Z32" s="4"/>
      <c r="AA32" s="4"/>
      <c r="AB32" s="4"/>
    </row>
    <row r="33" spans="1:28" ht="13.5" customHeight="1">
      <c r="A33" s="638" t="s">
        <v>116</v>
      </c>
      <c r="B33" s="5" t="s">
        <v>537</v>
      </c>
      <c r="C33" s="5" t="s">
        <v>403</v>
      </c>
      <c r="D33" s="6" t="s">
        <v>538</v>
      </c>
      <c r="E33" s="661" t="s">
        <v>539</v>
      </c>
      <c r="F33" s="5" t="s">
        <v>537</v>
      </c>
      <c r="G33" s="1" t="s">
        <v>540</v>
      </c>
      <c r="H33" s="5" t="s">
        <v>494</v>
      </c>
      <c r="I33" s="5"/>
      <c r="J33" s="5" t="s">
        <v>416</v>
      </c>
      <c r="K33" s="5" t="s">
        <v>409</v>
      </c>
      <c r="L33" s="7">
        <f>SUMIFS(Budget_main!$E$4:$E$65,Budget_main!$A$4:$A$65,B33,Budget_main!$B$4:$B$65,C33)/O33</f>
        <v>5767686.9999999991</v>
      </c>
      <c r="M33" s="7">
        <f>SUMIFS(Budget_main!$G$4:$G$65,Budget_main!$A$4:$A$65,B33,Budget_main!$B$4:$B$65,C33)/P33</f>
        <v>4674684.2514332235</v>
      </c>
      <c r="N33" s="7">
        <f>SUMIFS(Budget_main!$I$4:$I$65,Budget_main!$A$4:$A$65,B33,Budget_main!$B$4:$B$65,C33)/Q33</f>
        <v>2875541.5</v>
      </c>
      <c r="O33" s="5">
        <v>1</v>
      </c>
      <c r="P33" s="5">
        <v>1</v>
      </c>
      <c r="Q33" s="638">
        <v>1</v>
      </c>
      <c r="R33" s="5" t="s">
        <v>436</v>
      </c>
      <c r="S33" s="9" t="s">
        <v>541</v>
      </c>
      <c r="T33" s="9"/>
      <c r="U33" s="14" t="s">
        <v>542</v>
      </c>
      <c r="V33" s="4"/>
      <c r="W33" s="4"/>
      <c r="X33" s="4"/>
      <c r="Y33" s="4"/>
      <c r="Z33" s="4"/>
      <c r="AA33" s="4"/>
      <c r="AB33" s="4"/>
    </row>
    <row r="34" spans="1:28" ht="13.5" customHeight="1">
      <c r="A34" s="14" t="s">
        <v>150</v>
      </c>
      <c r="B34" s="14"/>
      <c r="C34" s="14"/>
      <c r="D34" s="18" t="s">
        <v>543</v>
      </c>
      <c r="E34" s="18" t="s">
        <v>544</v>
      </c>
      <c r="F34" s="14" t="s">
        <v>545</v>
      </c>
      <c r="G34" s="14" t="s">
        <v>546</v>
      </c>
      <c r="H34" s="14" t="s">
        <v>494</v>
      </c>
      <c r="I34" s="14" t="s">
        <v>407</v>
      </c>
      <c r="J34" s="14" t="s">
        <v>416</v>
      </c>
      <c r="K34" s="14" t="s">
        <v>409</v>
      </c>
      <c r="L34" s="10"/>
      <c r="M34" s="9"/>
      <c r="N34" s="14">
        <v>1467378.67</v>
      </c>
      <c r="O34" s="14"/>
      <c r="P34" s="14"/>
      <c r="Q34" s="14">
        <v>1</v>
      </c>
      <c r="R34" s="14" t="s">
        <v>410</v>
      </c>
      <c r="S34" s="14"/>
      <c r="T34" s="14"/>
      <c r="U34" s="14" t="s">
        <v>547</v>
      </c>
      <c r="V34" s="26"/>
      <c r="W34" s="4"/>
      <c r="X34" s="4"/>
      <c r="Y34" s="4"/>
      <c r="Z34" s="4"/>
      <c r="AA34" s="4"/>
      <c r="AB34" s="4"/>
    </row>
    <row r="35" spans="1:28" ht="13.5" customHeight="1">
      <c r="A35" s="5" t="s">
        <v>153</v>
      </c>
      <c r="B35" s="5" t="s">
        <v>548</v>
      </c>
      <c r="C35" s="5" t="s">
        <v>403</v>
      </c>
      <c r="D35" s="6" t="s">
        <v>549</v>
      </c>
      <c r="E35" s="657" t="s">
        <v>550</v>
      </c>
      <c r="F35" s="5" t="s">
        <v>548</v>
      </c>
      <c r="G35" s="5" t="s">
        <v>551</v>
      </c>
      <c r="H35" s="5" t="s">
        <v>494</v>
      </c>
      <c r="I35" s="5" t="s">
        <v>407</v>
      </c>
      <c r="J35" s="5" t="s">
        <v>408</v>
      </c>
      <c r="K35" s="5" t="s">
        <v>409</v>
      </c>
      <c r="L35" s="7">
        <f>SUMIFS(Budget_main!$E$4:$E$65,Budget_main!$A$4:$A$65,B35,Budget_main!$B$4:$B$65,C35)/O35</f>
        <v>4851582.1875</v>
      </c>
      <c r="M35" s="7">
        <f>SUMIFS(Budget_main!$G$4:$G$65,Budget_main!$A$4:$A$65,B35,Budget_main!$B$4:$B$65,C35)/P35</f>
        <v>5190337.5</v>
      </c>
      <c r="N35" s="7">
        <f>SUMIFS(Budget_main!$I$4:$I$65,Budget_main!$A$4:$A$65,B35,Budget_main!$B$4:$B$65,C35)/Q35</f>
        <v>3760337.5</v>
      </c>
      <c r="O35" s="5">
        <v>1</v>
      </c>
      <c r="P35" s="5">
        <v>1</v>
      </c>
      <c r="Q35" s="5">
        <v>1</v>
      </c>
      <c r="R35" s="5" t="s">
        <v>410</v>
      </c>
      <c r="S35" s="9"/>
      <c r="T35" s="9"/>
      <c r="U35" s="14" t="s">
        <v>552</v>
      </c>
      <c r="V35" s="4"/>
      <c r="W35" s="4"/>
      <c r="X35" s="4"/>
      <c r="Y35" s="4"/>
      <c r="Z35" s="4"/>
      <c r="AA35" s="4"/>
      <c r="AB35" s="4"/>
    </row>
    <row r="36" spans="1:28" ht="13.5" customHeight="1">
      <c r="A36" s="5" t="s">
        <v>156</v>
      </c>
      <c r="B36" s="5" t="s">
        <v>553</v>
      </c>
      <c r="C36" s="5" t="s">
        <v>403</v>
      </c>
      <c r="D36" s="6" t="s">
        <v>543</v>
      </c>
      <c r="E36" s="661" t="s">
        <v>554</v>
      </c>
      <c r="F36" s="5" t="s">
        <v>553</v>
      </c>
      <c r="G36" s="5" t="s">
        <v>555</v>
      </c>
      <c r="H36" s="5" t="s">
        <v>494</v>
      </c>
      <c r="I36" s="5" t="s">
        <v>407</v>
      </c>
      <c r="J36" s="5" t="s">
        <v>408</v>
      </c>
      <c r="K36" s="5" t="s">
        <v>409</v>
      </c>
      <c r="L36" s="7">
        <f>SUMIFS(Budget_main!$E$4:$E$65,Budget_main!$A$4:$A$65,B36,Budget_main!$B$4:$B$65,C36)/O36</f>
        <v>941088.00000000012</v>
      </c>
      <c r="M36" s="7">
        <f>SUMIFS(Budget_main!$G$4:$G$65,Budget_main!$A$4:$A$65,B36,Budget_main!$B$4:$B$65,C36)/P36</f>
        <v>941088.00000000012</v>
      </c>
      <c r="N36" s="7">
        <f>SUMIFS(Budget_main!$I$4:$I$65,Budget_main!$A$4:$A$65,B36,Budget_main!$B$4:$B$65,C36)/Q36</f>
        <v>941088.00000000012</v>
      </c>
      <c r="O36" s="5">
        <v>1</v>
      </c>
      <c r="P36" s="5">
        <v>1</v>
      </c>
      <c r="Q36" s="5">
        <v>1</v>
      </c>
      <c r="R36" s="5" t="s">
        <v>410</v>
      </c>
      <c r="S36" s="9"/>
      <c r="T36" s="9"/>
      <c r="U36" s="14" t="s">
        <v>552</v>
      </c>
      <c r="V36" s="4"/>
      <c r="W36" s="4"/>
      <c r="X36" s="4"/>
      <c r="Y36" s="4"/>
      <c r="Z36" s="4"/>
      <c r="AA36" s="4"/>
      <c r="AB36" s="4"/>
    </row>
    <row r="37" spans="1:28" ht="13.5" customHeight="1">
      <c r="A37" s="14" t="s">
        <v>158</v>
      </c>
      <c r="B37" s="9"/>
      <c r="C37" s="9"/>
      <c r="D37" s="18" t="s">
        <v>543</v>
      </c>
      <c r="E37" s="18" t="s">
        <v>544</v>
      </c>
      <c r="F37" s="14" t="s">
        <v>556</v>
      </c>
      <c r="G37" s="14" t="s">
        <v>557</v>
      </c>
      <c r="H37" s="14" t="s">
        <v>494</v>
      </c>
      <c r="I37" s="14" t="s">
        <v>407</v>
      </c>
      <c r="J37" s="14" t="s">
        <v>416</v>
      </c>
      <c r="K37" s="14" t="s">
        <v>409</v>
      </c>
      <c r="L37" s="14"/>
      <c r="M37" s="14"/>
      <c r="N37" s="14">
        <v>4832567.0999999996</v>
      </c>
      <c r="O37" s="14"/>
      <c r="P37" s="14"/>
      <c r="Q37" s="14">
        <v>1</v>
      </c>
      <c r="R37" s="14" t="s">
        <v>410</v>
      </c>
      <c r="S37" s="9"/>
      <c r="T37" s="9"/>
      <c r="U37" s="14" t="s">
        <v>547</v>
      </c>
      <c r="V37" s="4"/>
      <c r="W37" s="4"/>
      <c r="X37" s="4"/>
      <c r="Y37" s="4"/>
      <c r="Z37" s="4"/>
      <c r="AA37" s="4"/>
      <c r="AB37" s="4"/>
    </row>
    <row r="38" spans="1:28" ht="13.5" customHeight="1">
      <c r="A38" s="5" t="s">
        <v>161</v>
      </c>
      <c r="B38" s="5" t="s">
        <v>558</v>
      </c>
      <c r="C38" s="5" t="s">
        <v>403</v>
      </c>
      <c r="D38" s="6" t="s">
        <v>549</v>
      </c>
      <c r="E38" s="661" t="s">
        <v>559</v>
      </c>
      <c r="F38" s="5" t="s">
        <v>558</v>
      </c>
      <c r="G38" s="5" t="s">
        <v>560</v>
      </c>
      <c r="H38" s="5" t="s">
        <v>494</v>
      </c>
      <c r="I38" s="5" t="s">
        <v>407</v>
      </c>
      <c r="J38" s="5" t="s">
        <v>416</v>
      </c>
      <c r="K38" s="5" t="s">
        <v>409</v>
      </c>
      <c r="L38" s="7">
        <f>SUMIFS(Budget_main!$E$4:$E$65,Budget_main!$A$4:$A$65,B38,Budget_main!$B$4:$B$65,C38)/O38</f>
        <v>1101903.3958333333</v>
      </c>
      <c r="M38" s="7">
        <f>SUMIFS(Budget_main!$G$4:$G$65,Budget_main!$A$4:$A$65,B38,Budget_main!$B$4:$B$65,C38)/P38</f>
        <v>1101903.3958333333</v>
      </c>
      <c r="N38" s="7">
        <f>SUMIFS(Budget_main!$I$4:$I$65,Budget_main!$A$4:$A$65,B38,Budget_main!$B$4:$B$65,C38)/Q38</f>
        <v>1101903.3958333333</v>
      </c>
      <c r="O38" s="5">
        <v>1</v>
      </c>
      <c r="P38" s="5">
        <v>1</v>
      </c>
      <c r="Q38" s="5">
        <v>1</v>
      </c>
      <c r="R38" s="5" t="s">
        <v>561</v>
      </c>
      <c r="S38" s="9"/>
      <c r="T38" s="9"/>
      <c r="U38" s="9"/>
      <c r="V38" s="4"/>
      <c r="W38" s="4"/>
      <c r="X38" s="4"/>
      <c r="Y38" s="4"/>
      <c r="Z38" s="4"/>
      <c r="AA38" s="4"/>
      <c r="AB38" s="4"/>
    </row>
    <row r="39" spans="1:28" ht="13.5" customHeight="1">
      <c r="A39" s="5" t="s">
        <v>164</v>
      </c>
      <c r="B39" s="5" t="s">
        <v>562</v>
      </c>
      <c r="C39" s="5" t="s">
        <v>403</v>
      </c>
      <c r="D39" s="6" t="s">
        <v>549</v>
      </c>
      <c r="E39" s="661" t="s">
        <v>563</v>
      </c>
      <c r="F39" s="5" t="s">
        <v>562</v>
      </c>
      <c r="G39" s="5" t="s">
        <v>564</v>
      </c>
      <c r="H39" s="5" t="s">
        <v>494</v>
      </c>
      <c r="I39" s="5" t="s">
        <v>407</v>
      </c>
      <c r="J39" s="5" t="s">
        <v>408</v>
      </c>
      <c r="K39" s="5" t="s">
        <v>409</v>
      </c>
      <c r="L39" s="7">
        <f>Budget_main!E22/O39</f>
        <v>1940402.5</v>
      </c>
      <c r="M39" s="7">
        <f>Budget_main!G22/P39</f>
        <v>1940402.5</v>
      </c>
      <c r="N39" s="7">
        <f>Budget_main!I22/Q39</f>
        <v>1940402.5</v>
      </c>
      <c r="O39" s="5">
        <v>1</v>
      </c>
      <c r="P39" s="5">
        <v>1</v>
      </c>
      <c r="Q39" s="5">
        <v>1</v>
      </c>
      <c r="R39" s="5" t="s">
        <v>410</v>
      </c>
      <c r="S39" s="9"/>
      <c r="T39" s="9"/>
      <c r="U39" s="14" t="s">
        <v>552</v>
      </c>
      <c r="V39" s="4"/>
      <c r="W39" s="4"/>
      <c r="X39" s="4"/>
      <c r="Y39" s="4"/>
      <c r="Z39" s="4"/>
      <c r="AA39" s="4"/>
      <c r="AB39" s="4"/>
    </row>
    <row r="40" spans="1:28" ht="13.5" customHeight="1">
      <c r="A40" s="5" t="s">
        <v>167</v>
      </c>
      <c r="B40" s="5" t="s">
        <v>565</v>
      </c>
      <c r="C40" s="5" t="s">
        <v>403</v>
      </c>
      <c r="D40" s="6" t="s">
        <v>549</v>
      </c>
      <c r="E40" s="661" t="s">
        <v>559</v>
      </c>
      <c r="F40" s="5" t="s">
        <v>565</v>
      </c>
      <c r="G40" s="5" t="s">
        <v>566</v>
      </c>
      <c r="H40" s="5" t="s">
        <v>494</v>
      </c>
      <c r="I40" s="5" t="s">
        <v>407</v>
      </c>
      <c r="J40" s="5" t="s">
        <v>416</v>
      </c>
      <c r="K40" s="5" t="s">
        <v>409</v>
      </c>
      <c r="L40" s="7">
        <f>Budget_main!E34/O40</f>
        <v>1402863.0757478636</v>
      </c>
      <c r="M40" s="7">
        <f>Budget_main!G34/P40</f>
        <v>1402863.0757478636</v>
      </c>
      <c r="N40" s="7">
        <f>Budget_main!I34/Q40</f>
        <v>1362863.0757478636</v>
      </c>
      <c r="O40" s="5">
        <v>1</v>
      </c>
      <c r="P40" s="5">
        <v>1</v>
      </c>
      <c r="Q40" s="5">
        <v>1</v>
      </c>
      <c r="R40" s="5" t="s">
        <v>561</v>
      </c>
      <c r="S40" s="9"/>
      <c r="T40" s="9"/>
      <c r="U40" s="9"/>
      <c r="V40" s="4"/>
      <c r="W40" s="4"/>
      <c r="X40" s="4"/>
      <c r="Y40" s="4"/>
      <c r="Z40" s="4"/>
      <c r="AA40" s="4"/>
      <c r="AB40" s="4"/>
    </row>
    <row r="41" spans="1:28" ht="13.5" customHeight="1">
      <c r="A41" s="5" t="s">
        <v>171</v>
      </c>
      <c r="B41" s="5" t="s">
        <v>567</v>
      </c>
      <c r="C41" s="5" t="s">
        <v>403</v>
      </c>
      <c r="D41" s="6" t="s">
        <v>543</v>
      </c>
      <c r="E41" s="657" t="s">
        <v>568</v>
      </c>
      <c r="F41" s="5" t="s">
        <v>567</v>
      </c>
      <c r="G41" s="5" t="s">
        <v>569</v>
      </c>
      <c r="H41" s="5" t="s">
        <v>570</v>
      </c>
      <c r="I41" s="5" t="s">
        <v>407</v>
      </c>
      <c r="J41" s="5" t="s">
        <v>416</v>
      </c>
      <c r="K41" s="5" t="s">
        <v>409</v>
      </c>
      <c r="L41" s="7">
        <f>SUMIFS(Budget_main!$E$4:$E$65,Budget_main!$A$4:$A$65,B41,Budget_main!$B$4:$B$65,C41)/O41</f>
        <v>3607432.5</v>
      </c>
      <c r="M41" s="7">
        <f>SUMIFS(Budget_main!$G$4:$G$65,Budget_main!$A$4:$A$65,B41,Budget_main!$B$4:$B$65,C41)/P41</f>
        <v>3793438.75</v>
      </c>
      <c r="N41" s="7">
        <f>SUMIFS(Budget_main!$I$4:$I$65,Budget_main!$A$4:$A$65,B41,Budget_main!$B$4:$B$65,C41)/Q41</f>
        <v>3965234.9999999995</v>
      </c>
      <c r="O41" s="5">
        <v>1</v>
      </c>
      <c r="P41" s="5">
        <v>1</v>
      </c>
      <c r="Q41" s="5">
        <v>1</v>
      </c>
      <c r="R41" s="5" t="s">
        <v>571</v>
      </c>
      <c r="S41" s="9"/>
      <c r="T41" s="9"/>
      <c r="U41" s="9" t="s">
        <v>572</v>
      </c>
      <c r="V41" s="4"/>
      <c r="W41" s="4"/>
      <c r="X41" s="4"/>
      <c r="Y41" s="4"/>
      <c r="Z41" s="4"/>
      <c r="AA41" s="4"/>
      <c r="AB41" s="4"/>
    </row>
    <row r="42" spans="1:28" ht="13.5" customHeight="1">
      <c r="A42" s="5" t="s">
        <v>173</v>
      </c>
      <c r="B42" s="5" t="s">
        <v>567</v>
      </c>
      <c r="C42" s="5" t="s">
        <v>403</v>
      </c>
      <c r="D42" s="662" t="s">
        <v>508</v>
      </c>
      <c r="E42" s="27" t="s">
        <v>573</v>
      </c>
      <c r="F42" s="5" t="s">
        <v>574</v>
      </c>
      <c r="G42" s="5" t="s">
        <v>575</v>
      </c>
      <c r="H42" s="5" t="s">
        <v>570</v>
      </c>
      <c r="I42" s="5" t="s">
        <v>407</v>
      </c>
      <c r="J42" s="5" t="s">
        <v>416</v>
      </c>
      <c r="K42" s="5" t="s">
        <v>409</v>
      </c>
      <c r="L42" s="7"/>
      <c r="M42" s="7">
        <f>SUM(Budget_C19RM!AC51*25.53)</f>
        <v>1056724.4731289758</v>
      </c>
      <c r="N42" s="7"/>
      <c r="O42" s="5"/>
      <c r="P42" s="5">
        <v>1</v>
      </c>
      <c r="Q42" s="5">
        <v>1</v>
      </c>
      <c r="R42" s="5" t="s">
        <v>571</v>
      </c>
      <c r="S42" s="9" t="s">
        <v>514</v>
      </c>
      <c r="T42" s="19" t="s">
        <v>515</v>
      </c>
      <c r="U42" s="28" t="s">
        <v>572</v>
      </c>
      <c r="V42" s="21"/>
      <c r="W42" s="4"/>
      <c r="X42" s="4"/>
      <c r="Y42" s="4"/>
      <c r="Z42" s="4"/>
      <c r="AA42" s="4"/>
      <c r="AB42" s="4"/>
    </row>
    <row r="43" spans="1:28" ht="13.5" customHeight="1">
      <c r="A43" s="5" t="s">
        <v>175</v>
      </c>
      <c r="B43" s="5" t="s">
        <v>576</v>
      </c>
      <c r="C43" s="5" t="s">
        <v>403</v>
      </c>
      <c r="D43" s="6" t="s">
        <v>538</v>
      </c>
      <c r="E43" s="657" t="s">
        <v>577</v>
      </c>
      <c r="F43" s="5" t="s">
        <v>576</v>
      </c>
      <c r="G43" s="5" t="s">
        <v>578</v>
      </c>
      <c r="H43" s="5" t="s">
        <v>494</v>
      </c>
      <c r="I43" s="5" t="s">
        <v>407</v>
      </c>
      <c r="J43" s="5" t="s">
        <v>408</v>
      </c>
      <c r="K43" s="5" t="s">
        <v>409</v>
      </c>
      <c r="L43" s="7">
        <f>SUMIFS(Budget_main!$E$4:$E$65,Budget_main!$A$4:$A$65,B43,Budget_main!$B$4:$B$65,C43)/O43</f>
        <v>2310158.75</v>
      </c>
      <c r="M43" s="7">
        <f>SUMIFS(Budget_main!$G$4:$G$65,Budget_main!$A$4:$A$65,B43,Budget_main!$B$4:$B$65,C43)/P43</f>
        <v>2310158.75</v>
      </c>
      <c r="N43" s="7">
        <f>SUMIFS(Budget_main!$I$4:$I$65,Budget_main!$A$4:$A$65,B43,Budget_main!$B$4:$B$65,C43)/Q43</f>
        <v>2310158.75</v>
      </c>
      <c r="O43" s="5">
        <v>1</v>
      </c>
      <c r="P43" s="5">
        <v>1</v>
      </c>
      <c r="Q43" s="5">
        <v>1</v>
      </c>
      <c r="R43" s="5" t="s">
        <v>410</v>
      </c>
      <c r="S43" s="9"/>
      <c r="T43" s="9"/>
      <c r="U43" s="9" t="s">
        <v>552</v>
      </c>
      <c r="V43" s="4"/>
      <c r="W43" s="4"/>
      <c r="X43" s="4"/>
      <c r="Y43" s="4"/>
      <c r="Z43" s="4"/>
      <c r="AA43" s="4"/>
      <c r="AB43" s="4"/>
    </row>
    <row r="44" spans="1:28" ht="13.5" customHeight="1">
      <c r="A44" s="5" t="s">
        <v>177</v>
      </c>
      <c r="B44" s="5" t="s">
        <v>579</v>
      </c>
      <c r="C44" s="5" t="s">
        <v>403</v>
      </c>
      <c r="D44" s="6" t="s">
        <v>543</v>
      </c>
      <c r="E44" s="657" t="s">
        <v>580</v>
      </c>
      <c r="F44" s="5" t="s">
        <v>579</v>
      </c>
      <c r="G44" s="5" t="s">
        <v>581</v>
      </c>
      <c r="H44" s="5" t="s">
        <v>494</v>
      </c>
      <c r="I44" s="5" t="s">
        <v>407</v>
      </c>
      <c r="J44" s="5" t="s">
        <v>408</v>
      </c>
      <c r="K44" s="5" t="s">
        <v>409</v>
      </c>
      <c r="L44" s="7">
        <f>SUMIFS(Budget_main!$E$4:$E$65,Budget_main!$A$4:$A$65,B44,Budget_main!$B$4:$B$65,C44)/O44</f>
        <v>966388</v>
      </c>
      <c r="M44" s="7">
        <f>SUMIFS(Budget_main!$G$4:$G$65,Budget_main!$A$4:$A$65,B44,Budget_main!$B$4:$B$65,C44)/P44</f>
        <v>966388</v>
      </c>
      <c r="N44" s="7">
        <f>SUMIFS(Budget_main!$I$4:$I$65,Budget_main!$A$4:$A$65,B44,Budget_main!$B$4:$B$65,C44)/Q44</f>
        <v>966388</v>
      </c>
      <c r="O44" s="5">
        <v>1</v>
      </c>
      <c r="P44" s="5">
        <v>1</v>
      </c>
      <c r="Q44" s="5">
        <v>1</v>
      </c>
      <c r="R44" s="5" t="s">
        <v>410</v>
      </c>
      <c r="S44" s="9"/>
      <c r="T44" s="9"/>
      <c r="U44" s="9" t="s">
        <v>552</v>
      </c>
      <c r="V44" s="4"/>
      <c r="W44" s="4"/>
      <c r="X44" s="4"/>
      <c r="Y44" s="4"/>
      <c r="Z44" s="4"/>
      <c r="AA44" s="4"/>
      <c r="AB44" s="4"/>
    </row>
    <row r="45" spans="1:28" ht="13.5" customHeight="1">
      <c r="A45" s="5" t="s">
        <v>180</v>
      </c>
      <c r="B45" s="5" t="s">
        <v>582</v>
      </c>
      <c r="C45" s="5" t="s">
        <v>403</v>
      </c>
      <c r="D45" s="6" t="s">
        <v>549</v>
      </c>
      <c r="E45" s="661" t="s">
        <v>559</v>
      </c>
      <c r="F45" s="5" t="s">
        <v>582</v>
      </c>
      <c r="G45" s="5" t="s">
        <v>583</v>
      </c>
      <c r="H45" s="5" t="s">
        <v>494</v>
      </c>
      <c r="I45" s="5" t="s">
        <v>407</v>
      </c>
      <c r="J45" s="5" t="s">
        <v>416</v>
      </c>
      <c r="K45" s="5" t="s">
        <v>409</v>
      </c>
      <c r="L45" s="7">
        <f>SUMIFS(Budget_main!$E$4:$E$65,Budget_main!$A$4:$A$65,B45,Budget_main!$B$4:$B$65,C45)/O45</f>
        <v>3279528.260416667</v>
      </c>
      <c r="M45" s="7">
        <f>SUMIFS(Budget_main!$G$4:$G$65,Budget_main!$A$4:$A$65,B45,Budget_main!$B$4:$B$65,C45)/P45</f>
        <v>3279528.260416667</v>
      </c>
      <c r="N45" s="7">
        <f>SUMIFS(Budget_main!$I$4:$I$65,Budget_main!$A$4:$A$65,B45,Budget_main!$B$4:$B$65,C45)/Q45</f>
        <v>3279528.260416667</v>
      </c>
      <c r="O45" s="5">
        <v>1</v>
      </c>
      <c r="P45" s="5">
        <v>1</v>
      </c>
      <c r="Q45" s="5">
        <v>1</v>
      </c>
      <c r="R45" s="5" t="s">
        <v>584</v>
      </c>
      <c r="S45" s="9"/>
      <c r="T45" s="9"/>
      <c r="U45" s="9"/>
      <c r="V45" s="4"/>
      <c r="W45" s="4"/>
      <c r="X45" s="4"/>
      <c r="Y45" s="4"/>
      <c r="Z45" s="4"/>
      <c r="AA45" s="4"/>
      <c r="AB45" s="4"/>
    </row>
    <row r="46" spans="1:28" ht="13.5" customHeight="1">
      <c r="A46" s="5" t="s">
        <v>182</v>
      </c>
      <c r="B46" s="5" t="s">
        <v>585</v>
      </c>
      <c r="C46" s="5" t="s">
        <v>403</v>
      </c>
      <c r="D46" s="6" t="s">
        <v>538</v>
      </c>
      <c r="E46" s="661" t="s">
        <v>577</v>
      </c>
      <c r="F46" s="5" t="s">
        <v>585</v>
      </c>
      <c r="G46" s="5" t="s">
        <v>586</v>
      </c>
      <c r="H46" s="5" t="s">
        <v>494</v>
      </c>
      <c r="I46" s="5" t="s">
        <v>407</v>
      </c>
      <c r="J46" s="5" t="s">
        <v>408</v>
      </c>
      <c r="K46" s="5" t="s">
        <v>409</v>
      </c>
      <c r="L46" s="7">
        <f>SUMIFS(Budget_main!$E$4:$E$65,Budget_main!$A$4:$A$65,B46,Budget_main!$B$4:$B$65,C46)/O46</f>
        <v>2007847.8125</v>
      </c>
      <c r="M46" s="7">
        <f>SUMIFS(Budget_main!$G$4:$G$65,Budget_main!$A$4:$A$65,B46,Budget_main!$B$4:$B$65,C46)/P46</f>
        <v>1081240.3125</v>
      </c>
      <c r="N46" s="7">
        <f>SUMIFS(Budget_main!$I$4:$I$65,Budget_main!$A$4:$A$65,B46,Budget_main!$B$4:$B$65,C46)/Q46</f>
        <v>659961.5625</v>
      </c>
      <c r="O46" s="5">
        <v>1</v>
      </c>
      <c r="P46" s="5">
        <v>1</v>
      </c>
      <c r="Q46" s="5">
        <v>1</v>
      </c>
      <c r="R46" s="5" t="s">
        <v>410</v>
      </c>
      <c r="S46" s="9"/>
      <c r="T46" s="9"/>
      <c r="U46" s="14" t="s">
        <v>552</v>
      </c>
      <c r="V46" s="4"/>
      <c r="W46" s="4"/>
      <c r="X46" s="4"/>
      <c r="Y46" s="4"/>
      <c r="Z46" s="4"/>
      <c r="AA46" s="4"/>
      <c r="AB46" s="4"/>
    </row>
    <row r="47" spans="1:28" ht="13.5" customHeight="1">
      <c r="A47" s="5" t="s">
        <v>185</v>
      </c>
      <c r="B47" s="5" t="s">
        <v>587</v>
      </c>
      <c r="C47" s="5" t="s">
        <v>403</v>
      </c>
      <c r="D47" s="6" t="s">
        <v>549</v>
      </c>
      <c r="E47" s="661" t="s">
        <v>559</v>
      </c>
      <c r="F47" s="5" t="s">
        <v>587</v>
      </c>
      <c r="G47" s="5" t="s">
        <v>588</v>
      </c>
      <c r="H47" s="5" t="s">
        <v>494</v>
      </c>
      <c r="I47" s="5" t="s">
        <v>407</v>
      </c>
      <c r="J47" s="5" t="s">
        <v>416</v>
      </c>
      <c r="K47" s="5" t="s">
        <v>409</v>
      </c>
      <c r="L47" s="7">
        <f>SUMIFS(Budget_main!$E$4:$E$65,Budget_main!$A$4:$A$65,B47,Budget_main!$B$4:$B$65,C47)/O47</f>
        <v>5271515.9375</v>
      </c>
      <c r="M47" s="7">
        <f>SUMIFS(Budget_main!$G$4:$G$65,Budget_main!$A$4:$A$65,B47,Budget_main!$B$4:$B$65,C47)/P47</f>
        <v>5060731.4375</v>
      </c>
      <c r="N47" s="7">
        <f>SUMIFS(Budget_main!$I$4:$I$65,Budget_main!$A$4:$A$65,B47,Budget_main!$B$4:$B$65,C47)/Q47</f>
        <v>5060731.4375</v>
      </c>
      <c r="O47" s="5">
        <v>1</v>
      </c>
      <c r="P47" s="5">
        <v>1</v>
      </c>
      <c r="Q47" s="5">
        <v>1</v>
      </c>
      <c r="R47" s="5" t="s">
        <v>561</v>
      </c>
      <c r="S47" s="9"/>
      <c r="T47" s="9"/>
      <c r="U47" s="9"/>
      <c r="V47" s="4"/>
      <c r="W47" s="4"/>
      <c r="X47" s="4"/>
      <c r="Y47" s="4"/>
      <c r="Z47" s="4"/>
      <c r="AA47" s="4"/>
      <c r="AB47" s="4"/>
    </row>
    <row r="48" spans="1:28" ht="13.5" customHeight="1">
      <c r="A48" s="5" t="s">
        <v>187</v>
      </c>
      <c r="B48" s="5" t="s">
        <v>587</v>
      </c>
      <c r="C48" s="5" t="s">
        <v>403</v>
      </c>
      <c r="D48" s="29" t="s">
        <v>508</v>
      </c>
      <c r="E48" s="30" t="s">
        <v>589</v>
      </c>
      <c r="F48" s="5" t="s">
        <v>590</v>
      </c>
      <c r="G48" s="5" t="s">
        <v>588</v>
      </c>
      <c r="H48" s="5" t="s">
        <v>494</v>
      </c>
      <c r="I48" s="5" t="s">
        <v>407</v>
      </c>
      <c r="J48" s="5"/>
      <c r="K48" s="5"/>
      <c r="L48" s="7"/>
      <c r="M48" s="7">
        <f>SUM(Assumptions_C19RM!R484)</f>
        <v>1915085.625</v>
      </c>
      <c r="N48" s="7"/>
      <c r="O48" s="5"/>
      <c r="P48" s="5">
        <v>1</v>
      </c>
      <c r="Q48" s="5">
        <v>1</v>
      </c>
      <c r="R48" s="5" t="s">
        <v>561</v>
      </c>
      <c r="S48" s="9" t="s">
        <v>514</v>
      </c>
      <c r="T48" s="19" t="s">
        <v>515</v>
      </c>
      <c r="U48" s="20" t="s">
        <v>591</v>
      </c>
      <c r="V48" s="21"/>
      <c r="W48" s="4"/>
      <c r="X48" s="4"/>
      <c r="Y48" s="4"/>
      <c r="Z48" s="4"/>
      <c r="AA48" s="4"/>
      <c r="AB48" s="4"/>
    </row>
    <row r="49" spans="1:28" ht="13.5" customHeight="1">
      <c r="A49" s="5" t="s">
        <v>189</v>
      </c>
      <c r="B49" s="5" t="s">
        <v>587</v>
      </c>
      <c r="C49" s="5" t="s">
        <v>403</v>
      </c>
      <c r="D49" s="31" t="s">
        <v>508</v>
      </c>
      <c r="E49" s="663" t="s">
        <v>592</v>
      </c>
      <c r="F49" s="5" t="s">
        <v>593</v>
      </c>
      <c r="G49" s="5" t="s">
        <v>588</v>
      </c>
      <c r="H49" s="5"/>
      <c r="I49" s="5"/>
      <c r="J49" s="5"/>
      <c r="K49" s="5" t="s">
        <v>409</v>
      </c>
      <c r="L49" s="7"/>
      <c r="M49" s="7">
        <f>Budget_C19RM!AC89*25.53</f>
        <v>1378620.0000000002</v>
      </c>
      <c r="N49" s="7"/>
      <c r="O49" s="5"/>
      <c r="P49" s="7">
        <v>1</v>
      </c>
      <c r="Q49" s="5">
        <v>1</v>
      </c>
      <c r="R49" s="5" t="s">
        <v>561</v>
      </c>
      <c r="S49" s="9" t="s">
        <v>514</v>
      </c>
      <c r="T49" s="9"/>
      <c r="U49" s="20" t="s">
        <v>594</v>
      </c>
      <c r="V49" s="21"/>
      <c r="W49" s="4"/>
      <c r="X49" s="4"/>
      <c r="Y49" s="4"/>
      <c r="Z49" s="4"/>
      <c r="AA49" s="4"/>
      <c r="AB49" s="4"/>
    </row>
    <row r="50" spans="1:28" ht="13.5" customHeight="1">
      <c r="A50" s="5" t="s">
        <v>191</v>
      </c>
      <c r="B50" s="5" t="s">
        <v>595</v>
      </c>
      <c r="C50" s="5" t="s">
        <v>403</v>
      </c>
      <c r="D50" s="6" t="s">
        <v>549</v>
      </c>
      <c r="E50" s="661" t="s">
        <v>559</v>
      </c>
      <c r="F50" s="5" t="s">
        <v>595</v>
      </c>
      <c r="G50" s="5" t="s">
        <v>596</v>
      </c>
      <c r="H50" s="5" t="s">
        <v>494</v>
      </c>
      <c r="I50" s="5" t="s">
        <v>407</v>
      </c>
      <c r="J50" s="5" t="s">
        <v>416</v>
      </c>
      <c r="K50" s="5" t="s">
        <v>409</v>
      </c>
      <c r="L50" s="7">
        <f>SUMIFS(Budget_main!$E$4:$E$65,Budget_main!$A$4:$A$65,B50,Budget_main!$B$4:$B$65,C50)/O50</f>
        <v>3173584.2562500001</v>
      </c>
      <c r="M50" s="7">
        <f>SUMIFS(Budget_main!$G$4:$G$65,Budget_main!$A$4:$A$65,B50,Budget_main!$B$4:$B$65,C50)/P50</f>
        <v>2882973.0925020156</v>
      </c>
      <c r="N50" s="7">
        <f>SUMIFS(Budget_main!$I$4:$I$65,Budget_main!$A$4:$A$65,B50,Budget_main!$B$4:$B$65,C50)/Q50</f>
        <v>2882973.0925020156</v>
      </c>
      <c r="O50" s="5">
        <v>1</v>
      </c>
      <c r="P50" s="5">
        <v>1</v>
      </c>
      <c r="Q50" s="5">
        <v>1</v>
      </c>
      <c r="R50" s="5" t="s">
        <v>561</v>
      </c>
      <c r="S50" s="9"/>
      <c r="T50" s="9"/>
      <c r="U50" s="9"/>
      <c r="V50" s="4"/>
      <c r="W50" s="4"/>
      <c r="X50" s="4"/>
      <c r="Y50" s="4"/>
      <c r="Z50" s="4"/>
      <c r="AA50" s="4"/>
      <c r="AB50" s="4"/>
    </row>
    <row r="51" spans="1:28" ht="13.5" customHeight="1">
      <c r="A51" s="5" t="s">
        <v>194</v>
      </c>
      <c r="B51" s="5" t="s">
        <v>597</v>
      </c>
      <c r="C51" s="5" t="s">
        <v>403</v>
      </c>
      <c r="D51" s="6" t="s">
        <v>549</v>
      </c>
      <c r="E51" s="661" t="s">
        <v>559</v>
      </c>
      <c r="F51" s="5" t="s">
        <v>597</v>
      </c>
      <c r="G51" s="5" t="s">
        <v>598</v>
      </c>
      <c r="H51" s="5" t="s">
        <v>494</v>
      </c>
      <c r="I51" s="5" t="s">
        <v>407</v>
      </c>
      <c r="J51" s="5" t="s">
        <v>416</v>
      </c>
      <c r="K51" s="5" t="s">
        <v>409</v>
      </c>
      <c r="L51" s="7">
        <v>0</v>
      </c>
      <c r="M51" s="7">
        <f>(SUMIFS(Budget_main!$G$4:$G$65,Budget_main!$A$4:$A$65,B51,Budget_main!$B$4:$B$65,C51)+Budget_main!E56/2)/P51</f>
        <v>3457593.3281250009</v>
      </c>
      <c r="N51" s="7">
        <f>(SUMIFS(Budget_main!$I$4:$I$65,Budget_main!$A$4:$A$65,B51,Budget_main!$B$4:$B$65,C51)+Budget_main!$E$56/2)/Q51</f>
        <v>3457593.3281250009</v>
      </c>
      <c r="O51" s="5">
        <v>1</v>
      </c>
      <c r="P51" s="5">
        <v>1</v>
      </c>
      <c r="Q51" s="5">
        <v>1</v>
      </c>
      <c r="R51" s="5" t="s">
        <v>561</v>
      </c>
      <c r="S51" s="9"/>
      <c r="T51" s="9"/>
      <c r="U51" s="9"/>
      <c r="V51" s="4"/>
      <c r="W51" s="4"/>
      <c r="X51" s="4"/>
      <c r="Y51" s="4"/>
      <c r="Z51" s="4"/>
      <c r="AA51" s="4"/>
      <c r="AB51" s="4"/>
    </row>
    <row r="52" spans="1:28" ht="13.5" customHeight="1">
      <c r="A52" s="5" t="s">
        <v>197</v>
      </c>
      <c r="B52" s="5" t="s">
        <v>599</v>
      </c>
      <c r="C52" s="5" t="s">
        <v>403</v>
      </c>
      <c r="D52" s="6" t="s">
        <v>549</v>
      </c>
      <c r="E52" s="661" t="s">
        <v>559</v>
      </c>
      <c r="F52" s="5" t="s">
        <v>599</v>
      </c>
      <c r="G52" s="5" t="s">
        <v>600</v>
      </c>
      <c r="H52" s="5" t="s">
        <v>494</v>
      </c>
      <c r="I52" s="5" t="s">
        <v>407</v>
      </c>
      <c r="J52" s="5" t="s">
        <v>416</v>
      </c>
      <c r="K52" s="5" t="s">
        <v>409</v>
      </c>
      <c r="L52" s="7">
        <f>SUMIFS(Budget_main!$E$4:$E$65,Budget_main!$A$4:$A$65,B52,Budget_main!$B$4:$B$65,C52)/O52</f>
        <v>2424018.802083333</v>
      </c>
      <c r="M52" s="7">
        <f>SUMIFS(Budget_main!$G$4:$G$65,Budget_main!$A$4:$A$65,B52,Budget_main!$B$4:$B$65,C52)/P52</f>
        <v>2434850.302083333</v>
      </c>
      <c r="N52" s="7">
        <f>SUMIFS(Budget_main!$I$4:$I$65,Budget_main!$A$4:$A$65,B52,Budget_main!$B$4:$B$65,C52)/Q52</f>
        <v>2455476.302083333</v>
      </c>
      <c r="O52" s="5">
        <v>1</v>
      </c>
      <c r="P52" s="5">
        <v>1</v>
      </c>
      <c r="Q52" s="5">
        <v>1</v>
      </c>
      <c r="R52" s="5" t="s">
        <v>561</v>
      </c>
      <c r="S52" s="9"/>
      <c r="T52" s="9"/>
      <c r="U52" s="9"/>
      <c r="V52" s="4"/>
      <c r="W52" s="4"/>
      <c r="X52" s="4"/>
      <c r="Y52" s="4"/>
      <c r="Z52" s="4"/>
      <c r="AA52" s="4"/>
      <c r="AB52" s="4"/>
    </row>
    <row r="53" spans="1:28" ht="13.5" customHeight="1">
      <c r="A53" s="5" t="s">
        <v>199</v>
      </c>
      <c r="B53" s="5" t="s">
        <v>601</v>
      </c>
      <c r="C53" s="5" t="s">
        <v>403</v>
      </c>
      <c r="D53" s="6" t="s">
        <v>549</v>
      </c>
      <c r="E53" s="661" t="s">
        <v>559</v>
      </c>
      <c r="F53" s="5" t="s">
        <v>601</v>
      </c>
      <c r="G53" s="5" t="s">
        <v>602</v>
      </c>
      <c r="H53" s="5" t="s">
        <v>494</v>
      </c>
      <c r="I53" s="5" t="s">
        <v>407</v>
      </c>
      <c r="J53" s="5" t="s">
        <v>416</v>
      </c>
      <c r="K53" s="5" t="s">
        <v>409</v>
      </c>
      <c r="L53" s="7">
        <f>SUMIFS(Budget_main!$E$4:$E$65,Budget_main!$A$4:$A$65,B53,Budget_main!$B$4:$B$65,C53)/O53</f>
        <v>1602216.8229166667</v>
      </c>
      <c r="M53" s="7">
        <f>SUMIFS(Budget_main!$G$4:$G$65,Budget_main!$A$4:$A$65,B53,Budget_main!$B$4:$B$65,C53)/P53</f>
        <v>1602216.8229166667</v>
      </c>
      <c r="N53" s="7">
        <f>SUMIFS(Budget_main!$I$4:$I$65,Budget_main!$A$4:$A$65,B53,Budget_main!$B$4:$B$65,C53)/Q53</f>
        <v>1602216.8229166667</v>
      </c>
      <c r="O53" s="5">
        <v>1</v>
      </c>
      <c r="P53" s="5">
        <v>1</v>
      </c>
      <c r="Q53" s="5">
        <v>1</v>
      </c>
      <c r="R53" s="5" t="s">
        <v>561</v>
      </c>
      <c r="S53" s="9"/>
      <c r="T53" s="9"/>
      <c r="U53" s="9"/>
      <c r="V53" s="4"/>
      <c r="W53" s="4"/>
      <c r="X53" s="4"/>
      <c r="Y53" s="4"/>
      <c r="Z53" s="4"/>
      <c r="AA53" s="4"/>
      <c r="AB53" s="4"/>
    </row>
    <row r="54" spans="1:28" ht="13.5" customHeight="1">
      <c r="A54" s="5" t="s">
        <v>201</v>
      </c>
      <c r="B54" s="5" t="s">
        <v>601</v>
      </c>
      <c r="C54" s="5" t="s">
        <v>403</v>
      </c>
      <c r="D54" s="29" t="s">
        <v>508</v>
      </c>
      <c r="E54" s="30" t="s">
        <v>603</v>
      </c>
      <c r="F54" s="5" t="s">
        <v>604</v>
      </c>
      <c r="G54" s="5" t="s">
        <v>602</v>
      </c>
      <c r="H54" s="5"/>
      <c r="I54" s="5"/>
      <c r="J54" s="5"/>
      <c r="K54" s="5"/>
      <c r="L54" s="7"/>
      <c r="M54" s="7">
        <f>Budget_C19RM!$AC$24*25.53</f>
        <v>850046.50046652625</v>
      </c>
      <c r="N54" s="7"/>
      <c r="O54" s="5"/>
      <c r="P54" s="5">
        <v>1</v>
      </c>
      <c r="Q54" s="5">
        <v>1</v>
      </c>
      <c r="R54" s="5" t="s">
        <v>561</v>
      </c>
      <c r="S54" s="9" t="s">
        <v>514</v>
      </c>
      <c r="T54" s="19" t="s">
        <v>515</v>
      </c>
      <c r="U54" s="20" t="s">
        <v>605</v>
      </c>
      <c r="V54" s="21"/>
      <c r="W54" s="4"/>
      <c r="X54" s="4"/>
      <c r="Y54" s="4"/>
      <c r="Z54" s="4"/>
      <c r="AA54" s="4"/>
      <c r="AB54" s="4"/>
    </row>
    <row r="55" spans="1:28" ht="13.5" customHeight="1">
      <c r="A55" s="5" t="s">
        <v>203</v>
      </c>
      <c r="B55" s="5" t="s">
        <v>606</v>
      </c>
      <c r="C55" s="5" t="s">
        <v>403</v>
      </c>
      <c r="D55" s="6" t="s">
        <v>607</v>
      </c>
      <c r="E55" s="661" t="s">
        <v>608</v>
      </c>
      <c r="F55" s="5" t="s">
        <v>606</v>
      </c>
      <c r="G55" s="5" t="s">
        <v>609</v>
      </c>
      <c r="H55" s="5" t="s">
        <v>494</v>
      </c>
      <c r="I55" s="5" t="s">
        <v>407</v>
      </c>
      <c r="J55" s="5" t="s">
        <v>416</v>
      </c>
      <c r="K55" s="5" t="s">
        <v>409</v>
      </c>
      <c r="L55" s="7">
        <f>SUMIFS(Budget_main!$E$4:$E$65,Budget_main!$A$4:$A$65,B55,Budget_main!$B$4:$B$65,C55)/O55</f>
        <v>4663534.5000000009</v>
      </c>
      <c r="M55" s="7"/>
      <c r="N55" s="7"/>
      <c r="O55" s="5">
        <v>1</v>
      </c>
      <c r="P55" s="5"/>
      <c r="Q55" s="5">
        <v>1</v>
      </c>
      <c r="R55" s="5" t="s">
        <v>410</v>
      </c>
      <c r="S55" s="9"/>
      <c r="T55" s="9"/>
      <c r="U55" s="14" t="s">
        <v>610</v>
      </c>
      <c r="V55" s="4"/>
      <c r="W55" s="4"/>
      <c r="X55" s="4"/>
      <c r="Y55" s="4"/>
      <c r="Z55" s="4"/>
      <c r="AA55" s="4"/>
      <c r="AB55" s="4"/>
    </row>
    <row r="56" spans="1:28" ht="13.5" customHeight="1">
      <c r="A56" s="5" t="s">
        <v>205</v>
      </c>
      <c r="B56" s="5" t="s">
        <v>611</v>
      </c>
      <c r="C56" s="5" t="s">
        <v>403</v>
      </c>
      <c r="D56" s="6" t="s">
        <v>543</v>
      </c>
      <c r="E56" s="661" t="s">
        <v>568</v>
      </c>
      <c r="F56" s="5" t="s">
        <v>611</v>
      </c>
      <c r="G56" s="5" t="s">
        <v>612</v>
      </c>
      <c r="H56" s="5" t="s">
        <v>494</v>
      </c>
      <c r="I56" s="5" t="s">
        <v>407</v>
      </c>
      <c r="J56" s="5" t="s">
        <v>416</v>
      </c>
      <c r="K56" s="5" t="s">
        <v>409</v>
      </c>
      <c r="L56" s="7">
        <f>SUMIFS(Budget_main!$E$4:$E$65,Budget_main!$A$4:$A$65,B56,Budget_main!$B$4:$B$65,C56)/O56</f>
        <v>2618995.6562499995</v>
      </c>
      <c r="M56" s="7">
        <f>SUMIFS(Budget_main!$G$4:$G$65,Budget_main!$A$4:$A$65,B56,Budget_main!$B$4:$B$65,C56)/P56</f>
        <v>2538995.65625</v>
      </c>
      <c r="N56" s="7">
        <f>SUMIFS(Budget_main!$I$4:$I$65,Budget_main!$A$4:$A$65,B56,Budget_main!$B$4:$B$65,C56)/Q56</f>
        <v>2538995.65625</v>
      </c>
      <c r="O56" s="8">
        <v>1</v>
      </c>
      <c r="P56" s="8">
        <v>1</v>
      </c>
      <c r="Q56" s="8">
        <v>1</v>
      </c>
      <c r="R56" s="5" t="s">
        <v>561</v>
      </c>
      <c r="S56" s="9"/>
      <c r="T56" s="9"/>
      <c r="U56" s="32" t="s">
        <v>613</v>
      </c>
      <c r="V56" s="4"/>
      <c r="W56" s="4"/>
      <c r="X56" s="4"/>
      <c r="Y56" s="4"/>
      <c r="Z56" s="4"/>
      <c r="AA56" s="4"/>
      <c r="AB56" s="4"/>
    </row>
    <row r="57" spans="1:28" ht="13.5" customHeight="1">
      <c r="A57" s="5" t="s">
        <v>614</v>
      </c>
      <c r="B57" s="5" t="s">
        <v>615</v>
      </c>
      <c r="C57" s="5" t="s">
        <v>403</v>
      </c>
      <c r="D57" s="6" t="s">
        <v>543</v>
      </c>
      <c r="E57" s="661" t="s">
        <v>568</v>
      </c>
      <c r="F57" s="5" t="s">
        <v>616</v>
      </c>
      <c r="G57" s="5" t="s">
        <v>617</v>
      </c>
      <c r="H57" s="5" t="s">
        <v>570</v>
      </c>
      <c r="I57" s="5" t="s">
        <v>618</v>
      </c>
      <c r="J57" s="5" t="s">
        <v>619</v>
      </c>
      <c r="K57" s="5" t="s">
        <v>409</v>
      </c>
      <c r="L57" s="7">
        <f>SUMIFS(Budget_main!$E$4:$E$65,Budget_main!$A$4:$A$65,B57,Budget_main!$B$4:$B$65,C57)/O57</f>
        <v>113356</v>
      </c>
      <c r="M57" s="7">
        <f>SUMIFS(Budget_main!$G$4:$G$65,Budget_main!$A$4:$A$65,B57,Budget_main!$B$4:$B$65,C57)/P57</f>
        <v>103354</v>
      </c>
      <c r="N57" s="7">
        <f>SUMIFS(Budget_main!$I$4:$I$65,Budget_main!$A$4:$A$65,B57,Budget_main!$B$4:$B$65,C57)/Q57</f>
        <v>106688</v>
      </c>
      <c r="O57" s="5">
        <v>1</v>
      </c>
      <c r="P57" s="5">
        <v>1</v>
      </c>
      <c r="Q57" s="5">
        <v>1</v>
      </c>
      <c r="R57" s="5" t="s">
        <v>571</v>
      </c>
      <c r="S57" s="9" t="s">
        <v>620</v>
      </c>
      <c r="T57" s="9"/>
      <c r="U57" s="9" t="s">
        <v>621</v>
      </c>
      <c r="V57" s="4"/>
      <c r="W57" s="4"/>
      <c r="X57" s="4"/>
      <c r="Y57" s="4"/>
      <c r="Z57" s="4"/>
      <c r="AA57" s="4"/>
      <c r="AB57" s="4"/>
    </row>
    <row r="58" spans="1:28" ht="13.5" customHeight="1">
      <c r="A58" s="5" t="s">
        <v>207</v>
      </c>
      <c r="B58" s="5" t="s">
        <v>622</v>
      </c>
      <c r="C58" s="5" t="s">
        <v>403</v>
      </c>
      <c r="D58" s="33" t="s">
        <v>549</v>
      </c>
      <c r="E58" s="664" t="s">
        <v>550</v>
      </c>
      <c r="F58" s="5" t="s">
        <v>622</v>
      </c>
      <c r="G58" s="5" t="s">
        <v>623</v>
      </c>
      <c r="H58" s="5" t="s">
        <v>624</v>
      </c>
      <c r="I58" s="5" t="s">
        <v>618</v>
      </c>
      <c r="J58" s="5" t="s">
        <v>408</v>
      </c>
      <c r="K58" s="5" t="s">
        <v>409</v>
      </c>
      <c r="L58" s="7">
        <f>SUMIFS(Budget_main!$E$4:$E$65,Budget_main!$A$4:$A$65,B58,Budget_main!$B$4:$B$65,C58)/O58</f>
        <v>3711440.3378378381</v>
      </c>
      <c r="M58" s="7">
        <f>SUMIFS(Budget_main!$G$4:$G$65,Budget_main!$A$4:$A$65,B58,Budget_main!$B$4:$B$65,C58)/P58</f>
        <v>3240648</v>
      </c>
      <c r="N58" s="7">
        <f>SUMIFS(Budget_main!$I$4:$I$65,Budget_main!$A$4:$A$65,B58,Budget_main!$B$4:$B$65,C58)/Q58</f>
        <v>2034356.4560862863</v>
      </c>
      <c r="O58" s="5">
        <v>1</v>
      </c>
      <c r="P58" s="5">
        <v>1</v>
      </c>
      <c r="Q58" s="5">
        <v>1</v>
      </c>
      <c r="R58" s="5" t="s">
        <v>410</v>
      </c>
      <c r="S58" s="9" t="s">
        <v>625</v>
      </c>
      <c r="T58" s="9" t="s">
        <v>626</v>
      </c>
      <c r="U58" s="14" t="s">
        <v>627</v>
      </c>
      <c r="V58" s="4"/>
      <c r="W58" s="4"/>
      <c r="X58" s="4"/>
      <c r="Y58" s="4"/>
      <c r="Z58" s="4"/>
      <c r="AA58" s="4"/>
      <c r="AB58" s="4"/>
    </row>
    <row r="59" spans="1:28" ht="13.5" customHeight="1">
      <c r="A59" s="639" t="s">
        <v>74</v>
      </c>
      <c r="B59" s="11"/>
      <c r="C59" s="11"/>
      <c r="D59" s="660" t="s">
        <v>473</v>
      </c>
      <c r="E59" s="661" t="s">
        <v>474</v>
      </c>
      <c r="F59" s="11" t="s">
        <v>628</v>
      </c>
      <c r="G59" s="12" t="s">
        <v>629</v>
      </c>
      <c r="H59" s="11" t="s">
        <v>630</v>
      </c>
      <c r="I59" s="11" t="s">
        <v>631</v>
      </c>
      <c r="J59" s="11" t="s">
        <v>416</v>
      </c>
      <c r="K59" s="11" t="s">
        <v>409</v>
      </c>
      <c r="L59" s="13"/>
      <c r="M59" s="7"/>
      <c r="N59" s="7"/>
      <c r="O59" s="16"/>
      <c r="P59" s="16"/>
      <c r="Q59" s="642">
        <v>7</v>
      </c>
      <c r="R59" s="5" t="s">
        <v>535</v>
      </c>
      <c r="S59" s="9" t="s">
        <v>632</v>
      </c>
      <c r="T59" s="10"/>
      <c r="U59" s="14" t="s">
        <v>633</v>
      </c>
      <c r="V59" s="4"/>
      <c r="W59" s="4"/>
      <c r="X59" s="4"/>
      <c r="Y59" s="4"/>
      <c r="Z59" s="4"/>
      <c r="AA59" s="4"/>
      <c r="AB59" s="4"/>
    </row>
    <row r="60" spans="1:28" ht="13.5" customHeight="1">
      <c r="A60" s="638" t="s">
        <v>42</v>
      </c>
      <c r="B60" s="5"/>
      <c r="C60" s="5" t="s">
        <v>403</v>
      </c>
      <c r="D60" s="17" t="s">
        <v>508</v>
      </c>
      <c r="E60" s="18" t="s">
        <v>509</v>
      </c>
      <c r="F60" s="5" t="s">
        <v>634</v>
      </c>
      <c r="G60" s="5" t="s">
        <v>635</v>
      </c>
      <c r="H60" s="5" t="s">
        <v>636</v>
      </c>
      <c r="I60" s="5" t="s">
        <v>618</v>
      </c>
      <c r="J60" s="5" t="s">
        <v>416</v>
      </c>
      <c r="K60" s="5" t="s">
        <v>9</v>
      </c>
      <c r="L60" s="7">
        <f>Assumptions_C19RM!$I$24</f>
        <v>3565</v>
      </c>
      <c r="M60" s="7">
        <f>Assumptions_C19RM!$I$24</f>
        <v>3565</v>
      </c>
      <c r="N60" s="7">
        <f>Assumptions_C19RM!$I$24</f>
        <v>3565</v>
      </c>
      <c r="O60" s="34">
        <f>Assumptions_C19RM!M14</f>
        <v>156</v>
      </c>
      <c r="P60" s="34">
        <f>Assumptions_C19RM!N14</f>
        <v>624</v>
      </c>
      <c r="Q60" s="645">
        <f>Assumptions_C19RM!O14</f>
        <v>312</v>
      </c>
      <c r="R60" s="5" t="s">
        <v>637</v>
      </c>
      <c r="S60" s="9" t="s">
        <v>514</v>
      </c>
      <c r="T60" s="9"/>
      <c r="U60" s="28" t="s">
        <v>418</v>
      </c>
      <c r="V60" s="21" t="s">
        <v>638</v>
      </c>
      <c r="W60" s="4"/>
      <c r="X60" s="4"/>
      <c r="Y60" s="4"/>
      <c r="Z60" s="4"/>
      <c r="AA60" s="4"/>
      <c r="AB60" s="4"/>
    </row>
    <row r="61" spans="1:28" ht="13.5" customHeight="1">
      <c r="A61" s="638" t="s">
        <v>44</v>
      </c>
      <c r="B61" s="5"/>
      <c r="C61" s="5" t="s">
        <v>403</v>
      </c>
      <c r="D61" s="17" t="s">
        <v>508</v>
      </c>
      <c r="E61" s="18" t="s">
        <v>509</v>
      </c>
      <c r="F61" s="5" t="s">
        <v>639</v>
      </c>
      <c r="G61" s="5" t="s">
        <v>640</v>
      </c>
      <c r="H61" s="5" t="s">
        <v>636</v>
      </c>
      <c r="I61" s="5" t="s">
        <v>618</v>
      </c>
      <c r="J61" s="5" t="s">
        <v>416</v>
      </c>
      <c r="K61" s="5" t="s">
        <v>9</v>
      </c>
      <c r="L61" s="7">
        <f>Assumptions_C19RM!$I$9</f>
        <v>248.125</v>
      </c>
      <c r="M61" s="7">
        <f>Assumptions_C19RM!$I$9</f>
        <v>248.125</v>
      </c>
      <c r="N61" s="7">
        <f>Assumptions_C19RM!$I$9</f>
        <v>248.125</v>
      </c>
      <c r="O61" s="34">
        <f>Assumptions_C19RM!M4</f>
        <v>4690</v>
      </c>
      <c r="P61" s="34">
        <f>Assumptions_C19RM!N4</f>
        <v>18760</v>
      </c>
      <c r="Q61" s="645">
        <f>Assumptions_C19RM!O4</f>
        <v>9380</v>
      </c>
      <c r="R61" s="5" t="s">
        <v>637</v>
      </c>
      <c r="S61" s="9" t="s">
        <v>514</v>
      </c>
      <c r="T61" s="9"/>
      <c r="U61" s="28" t="s">
        <v>418</v>
      </c>
      <c r="V61" s="21" t="s">
        <v>641</v>
      </c>
      <c r="W61" s="4"/>
      <c r="X61" s="4"/>
      <c r="Y61" s="4"/>
      <c r="Z61" s="4"/>
      <c r="AA61" s="4"/>
      <c r="AB61" s="4"/>
    </row>
    <row r="62" spans="1:28" ht="13.5" customHeight="1">
      <c r="A62" s="638" t="s">
        <v>46</v>
      </c>
      <c r="B62" s="5"/>
      <c r="C62" s="5" t="s">
        <v>403</v>
      </c>
      <c r="D62" s="17" t="s">
        <v>508</v>
      </c>
      <c r="E62" s="18" t="s">
        <v>509</v>
      </c>
      <c r="F62" s="5" t="s">
        <v>642</v>
      </c>
      <c r="G62" s="5" t="s">
        <v>643</v>
      </c>
      <c r="H62" s="5" t="s">
        <v>644</v>
      </c>
      <c r="I62" s="5" t="s">
        <v>618</v>
      </c>
      <c r="J62" s="5" t="s">
        <v>416</v>
      </c>
      <c r="K62" s="5" t="s">
        <v>9</v>
      </c>
      <c r="L62" s="7">
        <f>Assumptions_C19RM!$I$34</f>
        <v>781.25</v>
      </c>
      <c r="M62" s="7">
        <f>Assumptions_C19RM!$I$34</f>
        <v>781.25</v>
      </c>
      <c r="N62" s="7">
        <f>Assumptions_C19RM!$I$34</f>
        <v>781.25</v>
      </c>
      <c r="O62" s="34">
        <f>Assumptions_C19RM!M31</f>
        <v>1536</v>
      </c>
      <c r="P62" s="34">
        <f>Assumptions_C19RM!N31</f>
        <v>5000</v>
      </c>
      <c r="Q62" s="645">
        <f>Assumptions_C19RM!O31</f>
        <v>2500</v>
      </c>
      <c r="R62" s="5" t="s">
        <v>637</v>
      </c>
      <c r="S62" s="9" t="s">
        <v>514</v>
      </c>
      <c r="T62" s="9"/>
      <c r="U62" s="28" t="s">
        <v>418</v>
      </c>
      <c r="V62" s="21" t="s">
        <v>645</v>
      </c>
      <c r="W62" s="4"/>
      <c r="X62" s="4"/>
      <c r="Y62" s="4"/>
      <c r="Z62" s="4"/>
      <c r="AA62" s="4"/>
      <c r="AB62" s="4"/>
    </row>
    <row r="63" spans="1:28" ht="13.5" customHeight="1">
      <c r="A63" s="638" t="s">
        <v>48</v>
      </c>
      <c r="B63" s="5"/>
      <c r="C63" s="5" t="s">
        <v>403</v>
      </c>
      <c r="D63" s="17" t="s">
        <v>508</v>
      </c>
      <c r="E63" s="18" t="s">
        <v>646</v>
      </c>
      <c r="F63" s="5" t="s">
        <v>647</v>
      </c>
      <c r="G63" s="5" t="s">
        <v>648</v>
      </c>
      <c r="H63" s="5" t="s">
        <v>649</v>
      </c>
      <c r="I63" s="5" t="s">
        <v>618</v>
      </c>
      <c r="J63" s="5" t="s">
        <v>416</v>
      </c>
      <c r="K63" s="5" t="s">
        <v>9</v>
      </c>
      <c r="L63" s="7">
        <f>Assumptions_C19RM!$I$48</f>
        <v>4021.25</v>
      </c>
      <c r="M63" s="7">
        <f>Assumptions_C19RM!$I$48</f>
        <v>4021.25</v>
      </c>
      <c r="N63" s="7">
        <f>Assumptions_C19RM!$I$48</f>
        <v>4021.25</v>
      </c>
      <c r="O63" s="34">
        <f>Assumptions_C19RM!M39</f>
        <v>170</v>
      </c>
      <c r="P63" s="34">
        <f>Assumptions_C19RM!N39</f>
        <v>680</v>
      </c>
      <c r="Q63" s="645">
        <f>Assumptions_C19RM!O39</f>
        <v>680</v>
      </c>
      <c r="R63" s="5" t="s">
        <v>637</v>
      </c>
      <c r="S63" s="9" t="s">
        <v>514</v>
      </c>
      <c r="T63" s="9"/>
      <c r="U63" s="28" t="s">
        <v>418</v>
      </c>
      <c r="V63" s="21" t="s">
        <v>650</v>
      </c>
      <c r="W63" s="4"/>
      <c r="X63" s="4"/>
      <c r="Y63" s="4"/>
      <c r="Z63" s="4"/>
      <c r="AA63" s="4"/>
      <c r="AB63" s="4"/>
    </row>
    <row r="64" spans="1:28" ht="13.5" customHeight="1">
      <c r="A64" s="638" t="s">
        <v>50</v>
      </c>
      <c r="B64" s="5"/>
      <c r="C64" s="5" t="s">
        <v>403</v>
      </c>
      <c r="D64" s="17" t="s">
        <v>508</v>
      </c>
      <c r="E64" s="18" t="s">
        <v>509</v>
      </c>
      <c r="F64" s="35" t="s">
        <v>651</v>
      </c>
      <c r="G64" s="5" t="s">
        <v>652</v>
      </c>
      <c r="H64" s="5" t="s">
        <v>653</v>
      </c>
      <c r="I64" s="5" t="s">
        <v>513</v>
      </c>
      <c r="J64" s="5" t="s">
        <v>416</v>
      </c>
      <c r="K64" s="5" t="s">
        <v>9</v>
      </c>
      <c r="L64" s="7"/>
      <c r="M64" s="7">
        <f>Assumptions_C19RM!$I$91</f>
        <v>1625</v>
      </c>
      <c r="N64" s="7"/>
      <c r="O64" s="5"/>
      <c r="P64" s="34">
        <f>Assumptions_C19RM!$N$86</f>
        <v>700</v>
      </c>
      <c r="Q64" s="645">
        <v>700</v>
      </c>
      <c r="R64" s="5" t="s">
        <v>436</v>
      </c>
      <c r="S64" s="9" t="s">
        <v>514</v>
      </c>
      <c r="T64" s="9"/>
      <c r="U64" s="20" t="s">
        <v>654</v>
      </c>
      <c r="V64" s="21" t="s">
        <v>655</v>
      </c>
      <c r="W64" s="4"/>
      <c r="X64" s="4"/>
      <c r="Y64" s="4"/>
      <c r="Z64" s="4"/>
      <c r="AA64" s="4"/>
      <c r="AB64" s="4"/>
    </row>
    <row r="65" spans="1:28" ht="13.5" customHeight="1">
      <c r="A65" s="638" t="s">
        <v>52</v>
      </c>
      <c r="B65" s="5"/>
      <c r="C65" s="5" t="s">
        <v>403</v>
      </c>
      <c r="D65" s="17" t="s">
        <v>508</v>
      </c>
      <c r="E65" s="18" t="s">
        <v>509</v>
      </c>
      <c r="F65" s="35" t="s">
        <v>656</v>
      </c>
      <c r="G65" s="5" t="s">
        <v>657</v>
      </c>
      <c r="H65" s="5" t="s">
        <v>486</v>
      </c>
      <c r="I65" s="5" t="s">
        <v>513</v>
      </c>
      <c r="J65" s="5" t="s">
        <v>416</v>
      </c>
      <c r="K65" s="5" t="s">
        <v>9</v>
      </c>
      <c r="L65" s="7"/>
      <c r="M65" s="7">
        <f>Assumptions_C19RM!$I$97</f>
        <v>309.375</v>
      </c>
      <c r="N65" s="7"/>
      <c r="O65" s="5"/>
      <c r="P65" s="34">
        <f>Assumptions_C19RM!N92</f>
        <v>7400</v>
      </c>
      <c r="Q65" s="645">
        <v>6000</v>
      </c>
      <c r="R65" s="5" t="s">
        <v>436</v>
      </c>
      <c r="S65" s="9" t="s">
        <v>514</v>
      </c>
      <c r="T65" s="9"/>
      <c r="U65" s="20" t="s">
        <v>658</v>
      </c>
      <c r="V65" s="21"/>
      <c r="W65" s="4"/>
      <c r="X65" s="4"/>
      <c r="Y65" s="4"/>
      <c r="Z65" s="4"/>
      <c r="AA65" s="4"/>
      <c r="AB65" s="4"/>
    </row>
    <row r="66" spans="1:28" ht="13.5" customHeight="1">
      <c r="A66" s="638" t="s">
        <v>108</v>
      </c>
      <c r="B66" s="5"/>
      <c r="C66" s="5" t="s">
        <v>403</v>
      </c>
      <c r="D66" s="17" t="s">
        <v>508</v>
      </c>
      <c r="E66" s="18" t="s">
        <v>509</v>
      </c>
      <c r="F66" s="5" t="s">
        <v>510</v>
      </c>
      <c r="G66" s="5" t="s">
        <v>659</v>
      </c>
      <c r="H66" s="5" t="s">
        <v>494</v>
      </c>
      <c r="I66" s="5" t="s">
        <v>513</v>
      </c>
      <c r="J66" s="5"/>
      <c r="K66" s="5" t="s">
        <v>409</v>
      </c>
      <c r="L66" s="7"/>
      <c r="M66" s="7">
        <f>SUM(Assumptions_C19RM!$R$102:$R$110)</f>
        <v>1553316.6074999999</v>
      </c>
      <c r="N66" s="7"/>
      <c r="O66" s="5"/>
      <c r="P66" s="5">
        <v>1</v>
      </c>
      <c r="Q66" s="638">
        <v>1</v>
      </c>
      <c r="R66" s="5" t="s">
        <v>436</v>
      </c>
      <c r="S66" s="9" t="s">
        <v>514</v>
      </c>
      <c r="T66" s="19"/>
      <c r="U66" s="20" t="s">
        <v>660</v>
      </c>
      <c r="V66" s="21"/>
      <c r="W66" s="4"/>
      <c r="X66" s="4"/>
      <c r="Y66" s="4"/>
      <c r="Z66" s="4"/>
      <c r="AA66" s="4"/>
      <c r="AB66" s="4"/>
    </row>
    <row r="67" spans="1:28" ht="13.5" customHeight="1">
      <c r="A67" s="5" t="s">
        <v>209</v>
      </c>
      <c r="B67" s="5"/>
      <c r="C67" s="5" t="s">
        <v>403</v>
      </c>
      <c r="D67" s="17" t="s">
        <v>508</v>
      </c>
      <c r="E67" s="18" t="s">
        <v>603</v>
      </c>
      <c r="F67" s="5" t="s">
        <v>661</v>
      </c>
      <c r="G67" s="5" t="s">
        <v>662</v>
      </c>
      <c r="H67" s="5" t="s">
        <v>494</v>
      </c>
      <c r="I67" s="5" t="s">
        <v>407</v>
      </c>
      <c r="J67" s="5" t="s">
        <v>416</v>
      </c>
      <c r="K67" s="5" t="s">
        <v>409</v>
      </c>
      <c r="L67" s="7"/>
      <c r="M67" s="7">
        <f>SUM(Assumptions_C19RM!$R$436:$R$440,Assumptions_C19RM!$R$446:$R$451)</f>
        <v>12602910.025</v>
      </c>
      <c r="N67" s="7"/>
      <c r="O67" s="5"/>
      <c r="P67" s="5">
        <v>1</v>
      </c>
      <c r="Q67" s="5">
        <v>1</v>
      </c>
      <c r="R67" s="5" t="s">
        <v>561</v>
      </c>
      <c r="S67" s="9" t="s">
        <v>514</v>
      </c>
      <c r="T67" s="9"/>
      <c r="U67" s="36" t="s">
        <v>663</v>
      </c>
      <c r="V67" s="21"/>
      <c r="W67" s="4"/>
      <c r="X67" s="4"/>
      <c r="Y67" s="4"/>
      <c r="Z67" s="4"/>
      <c r="AA67" s="4"/>
      <c r="AB67" s="4"/>
    </row>
    <row r="68" spans="1:28" ht="13.5" customHeight="1">
      <c r="A68" s="5" t="s">
        <v>211</v>
      </c>
      <c r="B68" s="5"/>
      <c r="C68" s="5" t="s">
        <v>403</v>
      </c>
      <c r="D68" s="17" t="s">
        <v>508</v>
      </c>
      <c r="E68" s="18" t="s">
        <v>603</v>
      </c>
      <c r="F68" s="5" t="s">
        <v>661</v>
      </c>
      <c r="G68" s="5" t="s">
        <v>664</v>
      </c>
      <c r="H68" s="5" t="s">
        <v>494</v>
      </c>
      <c r="I68" s="5" t="s">
        <v>407</v>
      </c>
      <c r="J68" s="5" t="s">
        <v>416</v>
      </c>
      <c r="K68" s="5" t="s">
        <v>409</v>
      </c>
      <c r="L68" s="7"/>
      <c r="M68" s="7">
        <f>SUM(Assumptions_C19RM!$Q$459:$Q$462)</f>
        <v>421950.25000000006</v>
      </c>
      <c r="N68" s="7"/>
      <c r="O68" s="5"/>
      <c r="P68" s="5">
        <v>1</v>
      </c>
      <c r="Q68" s="5">
        <v>1</v>
      </c>
      <c r="R68" s="5" t="s">
        <v>561</v>
      </c>
      <c r="S68" s="9" t="s">
        <v>514</v>
      </c>
      <c r="T68" s="9"/>
      <c r="U68" s="28"/>
      <c r="V68" s="21"/>
      <c r="W68" s="4"/>
      <c r="X68" s="4"/>
      <c r="Y68" s="4"/>
      <c r="Z68" s="4"/>
      <c r="AA68" s="4"/>
      <c r="AB68" s="4"/>
    </row>
    <row r="69" spans="1:28" ht="13.5" customHeight="1">
      <c r="A69" s="5" t="s">
        <v>213</v>
      </c>
      <c r="B69" s="5"/>
      <c r="C69" s="5" t="s">
        <v>403</v>
      </c>
      <c r="D69" s="17" t="s">
        <v>508</v>
      </c>
      <c r="E69" s="18" t="s">
        <v>603</v>
      </c>
      <c r="F69" s="5" t="s">
        <v>661</v>
      </c>
      <c r="G69" s="5" t="s">
        <v>665</v>
      </c>
      <c r="H69" s="5" t="s">
        <v>494</v>
      </c>
      <c r="I69" s="5" t="s">
        <v>407</v>
      </c>
      <c r="J69" s="5" t="s">
        <v>416</v>
      </c>
      <c r="K69" s="5" t="s">
        <v>409</v>
      </c>
      <c r="L69" s="7"/>
      <c r="M69" s="7">
        <f>SUM(Assumptions_C19RM!$R$469:$R$472)</f>
        <v>4136584.9000000008</v>
      </c>
      <c r="N69" s="7"/>
      <c r="O69" s="5"/>
      <c r="P69" s="5">
        <v>1</v>
      </c>
      <c r="Q69" s="5">
        <v>1</v>
      </c>
      <c r="R69" s="5" t="s">
        <v>561</v>
      </c>
      <c r="S69" s="9" t="s">
        <v>514</v>
      </c>
      <c r="T69" s="9"/>
      <c r="U69" s="36" t="s">
        <v>666</v>
      </c>
      <c r="V69" s="21"/>
      <c r="W69" s="4"/>
      <c r="X69" s="4"/>
      <c r="Y69" s="4"/>
      <c r="Z69" s="4"/>
      <c r="AA69" s="4"/>
      <c r="AB69" s="4"/>
    </row>
    <row r="70" spans="1:28" ht="13.5" customHeight="1">
      <c r="A70" s="5" t="s">
        <v>215</v>
      </c>
      <c r="B70" s="5"/>
      <c r="C70" s="5" t="s">
        <v>403</v>
      </c>
      <c r="D70" s="17" t="s">
        <v>508</v>
      </c>
      <c r="E70" s="18" t="s">
        <v>603</v>
      </c>
      <c r="F70" s="5" t="s">
        <v>667</v>
      </c>
      <c r="G70" s="5" t="s">
        <v>668</v>
      </c>
      <c r="H70" s="5" t="s">
        <v>494</v>
      </c>
      <c r="I70" s="5" t="s">
        <v>407</v>
      </c>
      <c r="J70" s="5" t="s">
        <v>416</v>
      </c>
      <c r="K70" s="5" t="s">
        <v>409</v>
      </c>
      <c r="L70" s="7"/>
      <c r="M70" s="7">
        <f>SUM(Assumptions_C19RM!Q489:Q500)</f>
        <v>3451377.1750000007</v>
      </c>
      <c r="N70" s="7"/>
      <c r="O70" s="5"/>
      <c r="P70" s="5">
        <v>1</v>
      </c>
      <c r="Q70" s="5">
        <v>1</v>
      </c>
      <c r="R70" s="5" t="s">
        <v>561</v>
      </c>
      <c r="S70" s="9" t="s">
        <v>514</v>
      </c>
      <c r="T70" s="26" t="s">
        <v>669</v>
      </c>
      <c r="U70" s="28" t="s">
        <v>670</v>
      </c>
      <c r="V70" s="21"/>
      <c r="W70" s="4"/>
      <c r="X70" s="4"/>
      <c r="Y70" s="4"/>
      <c r="Z70" s="4"/>
      <c r="AA70" s="4"/>
      <c r="AB70" s="4"/>
    </row>
    <row r="71" spans="1:28" ht="13.5" customHeight="1">
      <c r="A71" s="5" t="s">
        <v>218</v>
      </c>
      <c r="B71" s="11"/>
      <c r="C71" s="5" t="s">
        <v>403</v>
      </c>
      <c r="D71" s="17" t="s">
        <v>508</v>
      </c>
      <c r="E71" s="18" t="s">
        <v>573</v>
      </c>
      <c r="F71" s="5" t="s">
        <v>671</v>
      </c>
      <c r="G71" s="5" t="s">
        <v>672</v>
      </c>
      <c r="H71" s="5" t="s">
        <v>494</v>
      </c>
      <c r="I71" s="5" t="s">
        <v>407</v>
      </c>
      <c r="J71" s="5" t="s">
        <v>416</v>
      </c>
      <c r="K71" s="5" t="s">
        <v>409</v>
      </c>
      <c r="L71" s="7"/>
      <c r="M71" s="7">
        <f>SUM(Assumptions_C19RM!U510:U517)*25.53</f>
        <v>1253589.328373699</v>
      </c>
      <c r="N71" s="7"/>
      <c r="O71" s="5"/>
      <c r="P71" s="5">
        <v>1</v>
      </c>
      <c r="Q71" s="5">
        <v>1</v>
      </c>
      <c r="R71" s="5" t="s">
        <v>561</v>
      </c>
      <c r="S71" s="9" t="s">
        <v>514</v>
      </c>
      <c r="T71" s="9"/>
      <c r="U71" s="28"/>
      <c r="V71" s="21"/>
      <c r="W71" s="4"/>
      <c r="X71" s="4"/>
      <c r="Y71" s="4"/>
      <c r="Z71" s="4"/>
      <c r="AA71" s="4"/>
      <c r="AB71" s="4"/>
    </row>
    <row r="72" spans="1:28" ht="13.5" customHeight="1">
      <c r="A72" s="638" t="s">
        <v>54</v>
      </c>
      <c r="B72" s="5"/>
      <c r="C72" s="5" t="s">
        <v>403</v>
      </c>
      <c r="D72" s="37" t="s">
        <v>508</v>
      </c>
      <c r="E72" s="665" t="s">
        <v>646</v>
      </c>
      <c r="F72" s="5" t="s">
        <v>673</v>
      </c>
      <c r="G72" s="5" t="s">
        <v>674</v>
      </c>
      <c r="H72" s="5" t="s">
        <v>675</v>
      </c>
      <c r="I72" s="5" t="s">
        <v>407</v>
      </c>
      <c r="J72" s="5" t="s">
        <v>416</v>
      </c>
      <c r="K72" s="5" t="s">
        <v>9</v>
      </c>
      <c r="L72" s="7"/>
      <c r="M72" s="7">
        <f>Assumptions_C19RM!$I$539</f>
        <v>471.25</v>
      </c>
      <c r="N72" s="7"/>
      <c r="O72" s="5"/>
      <c r="P72" s="34">
        <f>Assumptions_C19RM!$N$534</f>
        <v>3890</v>
      </c>
      <c r="Q72" s="638">
        <v>2540</v>
      </c>
      <c r="R72" s="5" t="s">
        <v>637</v>
      </c>
      <c r="S72" s="9" t="s">
        <v>514</v>
      </c>
      <c r="T72" s="9"/>
      <c r="U72" s="28"/>
      <c r="V72" s="21" t="s">
        <v>453</v>
      </c>
      <c r="W72" s="4"/>
      <c r="X72" s="4"/>
      <c r="Y72" s="4"/>
      <c r="Z72" s="4"/>
      <c r="AA72" s="4"/>
      <c r="AB72" s="4"/>
    </row>
    <row r="73" spans="1:28" ht="13.5" customHeight="1">
      <c r="A73" s="5" t="s">
        <v>222</v>
      </c>
      <c r="B73" s="5"/>
      <c r="C73" s="5" t="s">
        <v>403</v>
      </c>
      <c r="D73" s="17" t="s">
        <v>508</v>
      </c>
      <c r="E73" s="18" t="s">
        <v>573</v>
      </c>
      <c r="F73" s="5" t="s">
        <v>676</v>
      </c>
      <c r="G73" s="5" t="s">
        <v>677</v>
      </c>
      <c r="H73" s="5" t="s">
        <v>494</v>
      </c>
      <c r="I73" s="5" t="s">
        <v>407</v>
      </c>
      <c r="J73" s="5" t="s">
        <v>416</v>
      </c>
      <c r="K73" s="5" t="s">
        <v>9</v>
      </c>
      <c r="L73" s="7"/>
      <c r="M73" s="7">
        <f>SUM(Assumptions_C19RM!$I$51:$I$53)</f>
        <v>500</v>
      </c>
      <c r="N73" s="7"/>
      <c r="O73" s="5"/>
      <c r="P73" s="7">
        <f>Assumptions_C19RM!$N$51</f>
        <v>2500</v>
      </c>
      <c r="Q73" s="5">
        <v>2500</v>
      </c>
      <c r="R73" s="5" t="s">
        <v>561</v>
      </c>
      <c r="S73" s="9" t="s">
        <v>514</v>
      </c>
      <c r="T73" s="9"/>
      <c r="U73" s="28"/>
      <c r="V73" s="21"/>
      <c r="W73" s="4"/>
      <c r="X73" s="4"/>
      <c r="Y73" s="4"/>
      <c r="Z73" s="4"/>
      <c r="AA73" s="4"/>
      <c r="AB73" s="4"/>
    </row>
    <row r="74" spans="1:28" ht="13.5" customHeight="1">
      <c r="A74" s="5" t="s">
        <v>225</v>
      </c>
      <c r="B74" s="5"/>
      <c r="C74" s="5" t="s">
        <v>403</v>
      </c>
      <c r="D74" s="37" t="s">
        <v>508</v>
      </c>
      <c r="E74" s="665" t="s">
        <v>509</v>
      </c>
      <c r="F74" s="5" t="s">
        <v>678</v>
      </c>
      <c r="G74" s="5" t="s">
        <v>679</v>
      </c>
      <c r="H74" s="5" t="s">
        <v>494</v>
      </c>
      <c r="I74" s="5"/>
      <c r="J74" s="5" t="s">
        <v>416</v>
      </c>
      <c r="K74" s="5" t="s">
        <v>409</v>
      </c>
      <c r="L74" s="7"/>
      <c r="M74" s="7">
        <f>SUM(Assumptions_C19RM!$Q$56:$Q$58)</f>
        <v>1074362.865</v>
      </c>
      <c r="N74" s="7"/>
      <c r="O74" s="5"/>
      <c r="P74" s="7">
        <v>1</v>
      </c>
      <c r="Q74" s="5">
        <v>1</v>
      </c>
      <c r="R74" s="5" t="s">
        <v>561</v>
      </c>
      <c r="S74" s="9" t="s">
        <v>514</v>
      </c>
      <c r="T74" s="9"/>
      <c r="U74" s="28"/>
      <c r="V74" s="21"/>
      <c r="W74" s="4"/>
      <c r="X74" s="4"/>
      <c r="Y74" s="4"/>
      <c r="Z74" s="4"/>
      <c r="AA74" s="4"/>
      <c r="AB74" s="4"/>
    </row>
    <row r="75" spans="1:28" ht="13.5" customHeight="1">
      <c r="A75" s="5" t="s">
        <v>680</v>
      </c>
      <c r="B75" s="5"/>
      <c r="C75" s="5" t="s">
        <v>403</v>
      </c>
      <c r="D75" s="17" t="s">
        <v>508</v>
      </c>
      <c r="E75" s="18" t="s">
        <v>509</v>
      </c>
      <c r="F75" s="5" t="s">
        <v>681</v>
      </c>
      <c r="G75" s="5" t="s">
        <v>682</v>
      </c>
      <c r="H75" s="5" t="s">
        <v>494</v>
      </c>
      <c r="I75" s="5" t="s">
        <v>407</v>
      </c>
      <c r="J75" s="5" t="s">
        <v>416</v>
      </c>
      <c r="K75" s="5" t="s">
        <v>409</v>
      </c>
      <c r="L75" s="7"/>
      <c r="M75" s="7">
        <f>SUM(Assumptions_C19RM!Q61:R68)+Assumptions_C19RM!I82</f>
        <v>399173.62745000003</v>
      </c>
      <c r="N75" s="7"/>
      <c r="O75" s="5"/>
      <c r="P75" s="7">
        <v>1</v>
      </c>
      <c r="Q75" s="5">
        <v>1</v>
      </c>
      <c r="R75" s="5" t="s">
        <v>561</v>
      </c>
      <c r="S75" s="9" t="s">
        <v>514</v>
      </c>
      <c r="T75" s="9"/>
      <c r="U75" s="28"/>
      <c r="V75" s="21"/>
      <c r="W75" s="4"/>
      <c r="X75" s="4"/>
      <c r="Y75" s="4"/>
      <c r="Z75" s="4"/>
      <c r="AA75" s="4"/>
      <c r="AB75" s="4"/>
    </row>
    <row r="76" spans="1:28" ht="13.5" customHeight="1">
      <c r="A76" s="5" t="s">
        <v>227</v>
      </c>
      <c r="B76" s="5"/>
      <c r="C76" s="5" t="s">
        <v>403</v>
      </c>
      <c r="D76" s="17" t="s">
        <v>508</v>
      </c>
      <c r="E76" s="18" t="s">
        <v>573</v>
      </c>
      <c r="F76" s="5" t="s">
        <v>683</v>
      </c>
      <c r="G76" s="5" t="s">
        <v>684</v>
      </c>
      <c r="H76" s="5" t="s">
        <v>494</v>
      </c>
      <c r="I76" s="5" t="s">
        <v>407</v>
      </c>
      <c r="J76" s="5" t="s">
        <v>416</v>
      </c>
      <c r="K76" s="5" t="s">
        <v>409</v>
      </c>
      <c r="L76" s="7"/>
      <c r="M76" s="7">
        <f>SUM(Assumptions_C19RM!$Q$522:$Q$528)</f>
        <v>919700.72054999997</v>
      </c>
      <c r="N76" s="7"/>
      <c r="O76" s="5"/>
      <c r="P76" s="7">
        <v>1</v>
      </c>
      <c r="Q76" s="5">
        <v>1</v>
      </c>
      <c r="R76" s="5" t="s">
        <v>561</v>
      </c>
      <c r="S76" s="9" t="s">
        <v>514</v>
      </c>
      <c r="T76" s="9"/>
      <c r="U76" s="28"/>
      <c r="V76" s="21"/>
      <c r="W76" s="4"/>
      <c r="X76" s="4"/>
      <c r="Y76" s="4"/>
      <c r="Z76" s="4"/>
      <c r="AA76" s="4"/>
      <c r="AB76" s="4"/>
    </row>
    <row r="77" spans="1:28" ht="55.5" customHeight="1">
      <c r="A77" s="638" t="s">
        <v>96</v>
      </c>
      <c r="B77" s="5"/>
      <c r="C77" s="5" t="s">
        <v>403</v>
      </c>
      <c r="D77" s="17" t="s">
        <v>508</v>
      </c>
      <c r="E77" s="18" t="s">
        <v>573</v>
      </c>
      <c r="F77" s="5" t="s">
        <v>685</v>
      </c>
      <c r="G77" s="5" t="s">
        <v>686</v>
      </c>
      <c r="H77" s="5" t="s">
        <v>409</v>
      </c>
      <c r="I77" s="5" t="s">
        <v>407</v>
      </c>
      <c r="J77" s="5" t="s">
        <v>416</v>
      </c>
      <c r="K77" s="5" t="s">
        <v>409</v>
      </c>
      <c r="L77" s="7"/>
      <c r="M77" s="7"/>
      <c r="N77" s="7"/>
      <c r="O77" s="5"/>
      <c r="P77" s="7">
        <v>4</v>
      </c>
      <c r="Q77" s="638">
        <v>5</v>
      </c>
      <c r="R77" s="5" t="s">
        <v>687</v>
      </c>
      <c r="S77" s="9" t="s">
        <v>514</v>
      </c>
      <c r="T77" s="9"/>
      <c r="U77" s="20" t="s">
        <v>688</v>
      </c>
      <c r="V77" s="21"/>
      <c r="W77" s="4"/>
      <c r="X77" s="4"/>
      <c r="Y77" s="4"/>
      <c r="Z77" s="4"/>
      <c r="AA77" s="4"/>
      <c r="AB77" s="4"/>
    </row>
    <row r="78" spans="1:28" ht="13.5" customHeight="1">
      <c r="A78" s="647" t="s">
        <v>689</v>
      </c>
      <c r="B78" s="5"/>
      <c r="C78" s="5"/>
      <c r="D78" s="17" t="s">
        <v>508</v>
      </c>
      <c r="E78" s="648" t="s">
        <v>509</v>
      </c>
      <c r="F78" s="5" t="s">
        <v>628</v>
      </c>
      <c r="G78" s="649" t="s">
        <v>629</v>
      </c>
      <c r="H78" s="649" t="s">
        <v>630</v>
      </c>
      <c r="I78" s="649" t="s">
        <v>631</v>
      </c>
      <c r="J78" s="650" t="s">
        <v>416</v>
      </c>
      <c r="K78" s="649" t="s">
        <v>409</v>
      </c>
      <c r="L78" s="651"/>
      <c r="M78" s="651"/>
      <c r="N78" s="651"/>
      <c r="O78" s="652"/>
      <c r="P78" s="652"/>
      <c r="Q78" s="653">
        <v>7</v>
      </c>
      <c r="R78" s="649" t="s">
        <v>535</v>
      </c>
      <c r="S78" s="654" t="s">
        <v>514</v>
      </c>
      <c r="T78" s="655"/>
      <c r="U78" s="656" t="s">
        <v>690</v>
      </c>
      <c r="V78" s="21"/>
      <c r="W78" s="4"/>
      <c r="X78" s="4"/>
      <c r="Y78" s="4"/>
      <c r="Z78" s="4"/>
      <c r="AA78" s="4"/>
      <c r="AB78" s="4"/>
    </row>
    <row r="79" spans="1:28" ht="13.5" customHeight="1">
      <c r="A79" s="26"/>
      <c r="B79" s="9"/>
      <c r="C79" s="9"/>
      <c r="D79" s="4"/>
      <c r="E79" s="4"/>
      <c r="F79" s="4"/>
      <c r="G79" s="26"/>
      <c r="H79" s="26"/>
      <c r="I79" s="26"/>
      <c r="J79" s="26"/>
      <c r="K79" s="26"/>
      <c r="L79" s="38"/>
      <c r="M79" s="4"/>
      <c r="N79" s="26"/>
      <c r="O79" s="4"/>
      <c r="P79" s="4"/>
      <c r="Q79" s="4"/>
      <c r="R79" s="26"/>
      <c r="S79" s="4"/>
      <c r="T79" s="4"/>
      <c r="U79" s="4"/>
      <c r="V79" s="4"/>
      <c r="W79" s="4"/>
      <c r="X79" s="4"/>
      <c r="Y79" s="4"/>
      <c r="Z79" s="4"/>
      <c r="AA79" s="4"/>
      <c r="AB79" s="4"/>
    </row>
    <row r="80" spans="1:28" ht="13.5" customHeight="1">
      <c r="A80" s="4"/>
      <c r="B80" s="9"/>
      <c r="C80" s="9"/>
      <c r="D80" s="4"/>
      <c r="E80" s="4"/>
      <c r="F80" s="4"/>
      <c r="G80" s="4"/>
      <c r="H80" s="4"/>
      <c r="I80" s="4"/>
      <c r="J80" s="4"/>
      <c r="K80" s="26"/>
      <c r="L80" s="38"/>
      <c r="M80" s="4"/>
      <c r="N80" s="4"/>
      <c r="O80" s="4"/>
      <c r="P80" s="4"/>
      <c r="Q80" s="4"/>
      <c r="R80" s="4"/>
      <c r="S80" s="4"/>
      <c r="T80" s="4"/>
      <c r="U80" s="4"/>
      <c r="V80" s="4"/>
      <c r="W80" s="4"/>
      <c r="X80" s="4"/>
      <c r="Y80" s="4"/>
      <c r="Z80" s="4"/>
      <c r="AA80" s="4"/>
      <c r="AB80" s="4"/>
    </row>
    <row r="81" spans="1:28" ht="13.5" customHeight="1">
      <c r="A81" s="4"/>
      <c r="B81" s="9"/>
      <c r="C81" s="9"/>
      <c r="D81" s="4"/>
      <c r="E81" s="4"/>
      <c r="F81" s="4"/>
      <c r="G81" s="4"/>
      <c r="H81" s="4"/>
      <c r="I81" s="4"/>
      <c r="J81" s="4"/>
      <c r="K81" s="4"/>
      <c r="L81" s="38"/>
      <c r="M81" s="4"/>
      <c r="N81" s="4"/>
      <c r="O81" s="4"/>
      <c r="P81" s="4"/>
      <c r="Q81" s="4"/>
      <c r="R81" s="4"/>
      <c r="S81" s="4"/>
      <c r="T81" s="4"/>
      <c r="U81" s="4"/>
      <c r="V81" s="4"/>
      <c r="W81" s="4"/>
      <c r="X81" s="4"/>
      <c r="Y81" s="4"/>
      <c r="Z81" s="4"/>
      <c r="AA81" s="4"/>
      <c r="AB81" s="4"/>
    </row>
    <row r="82" spans="1:28" ht="13.5" customHeight="1">
      <c r="A82" s="4"/>
      <c r="B82" s="9"/>
      <c r="C82" s="9"/>
      <c r="D82" s="4"/>
      <c r="E82" s="4"/>
      <c r="F82" s="4"/>
      <c r="G82" s="4"/>
      <c r="H82" s="4"/>
      <c r="I82" s="4"/>
      <c r="J82" s="4"/>
      <c r="K82" s="4"/>
      <c r="L82" s="38"/>
      <c r="M82" s="4"/>
      <c r="N82" s="4"/>
      <c r="O82" s="4"/>
      <c r="P82" s="4"/>
      <c r="Q82" s="4"/>
      <c r="R82" s="4"/>
      <c r="S82" s="4"/>
      <c r="T82" s="4"/>
      <c r="U82" s="4"/>
      <c r="V82" s="4"/>
      <c r="W82" s="4"/>
      <c r="X82" s="4"/>
      <c r="Y82" s="4"/>
      <c r="Z82" s="4"/>
      <c r="AA82" s="4"/>
      <c r="AB82" s="4"/>
    </row>
    <row r="83" spans="1:28" ht="13.5" customHeight="1">
      <c r="A83" s="4"/>
      <c r="B83" s="9"/>
      <c r="C83" s="9"/>
      <c r="D83" s="4"/>
      <c r="E83" s="4"/>
      <c r="F83" s="4"/>
      <c r="G83" s="4"/>
      <c r="H83" s="4"/>
      <c r="I83" s="4"/>
      <c r="J83" s="4"/>
      <c r="K83" s="4"/>
      <c r="L83" s="38"/>
      <c r="M83" s="4"/>
      <c r="N83" s="4"/>
      <c r="O83" s="4"/>
      <c r="P83" s="4"/>
      <c r="Q83" s="4"/>
      <c r="R83" s="4"/>
      <c r="S83" s="4"/>
      <c r="T83" s="4"/>
      <c r="U83" s="4"/>
      <c r="V83" s="4"/>
      <c r="W83" s="4"/>
      <c r="X83" s="4"/>
      <c r="Y83" s="4"/>
      <c r="Z83" s="4"/>
      <c r="AA83" s="4"/>
      <c r="AB83" s="4"/>
    </row>
    <row r="84" spans="1:28" ht="13.5" customHeight="1">
      <c r="A84" s="4"/>
      <c r="B84" s="9"/>
      <c r="C84" s="9"/>
      <c r="D84" s="4"/>
      <c r="E84" s="4"/>
      <c r="F84" s="4"/>
      <c r="G84" s="4"/>
      <c r="H84" s="4"/>
      <c r="I84" s="4"/>
      <c r="J84" s="4"/>
      <c r="K84" s="4"/>
      <c r="L84" s="38"/>
      <c r="M84" s="4"/>
      <c r="N84" s="4"/>
      <c r="O84" s="4"/>
      <c r="P84" s="4"/>
      <c r="Q84" s="4"/>
      <c r="R84" s="4"/>
      <c r="S84" s="4"/>
      <c r="T84" s="4"/>
      <c r="U84" s="4"/>
      <c r="V84" s="4"/>
      <c r="W84" s="4"/>
      <c r="X84" s="4"/>
      <c r="Y84" s="4"/>
      <c r="Z84" s="4"/>
      <c r="AA84" s="4"/>
      <c r="AB84" s="4"/>
    </row>
    <row r="85" spans="1:28" ht="13.5" customHeight="1">
      <c r="A85" s="4"/>
      <c r="B85" s="9"/>
      <c r="C85" s="9"/>
      <c r="D85" s="4"/>
      <c r="E85" s="4"/>
      <c r="F85" s="4"/>
      <c r="G85" s="4"/>
      <c r="H85" s="4"/>
      <c r="I85" s="4"/>
      <c r="J85" s="4"/>
      <c r="K85" s="4"/>
      <c r="L85" s="38"/>
      <c r="M85" s="4"/>
      <c r="N85" s="4"/>
      <c r="O85" s="4"/>
      <c r="P85" s="4"/>
      <c r="Q85" s="4"/>
      <c r="R85" s="4"/>
      <c r="S85" s="4"/>
      <c r="T85" s="4"/>
      <c r="U85" s="4"/>
      <c r="V85" s="4"/>
      <c r="W85" s="4"/>
      <c r="X85" s="4"/>
      <c r="Y85" s="4"/>
      <c r="Z85" s="4"/>
      <c r="AA85" s="4"/>
      <c r="AB85" s="4"/>
    </row>
    <row r="86" spans="1:28" ht="13.5" customHeight="1">
      <c r="A86" s="4"/>
      <c r="B86" s="9"/>
      <c r="C86" s="9"/>
      <c r="D86" s="4"/>
      <c r="E86" s="4"/>
      <c r="F86" s="4"/>
      <c r="G86" s="4"/>
      <c r="H86" s="4"/>
      <c r="I86" s="4"/>
      <c r="J86" s="4"/>
      <c r="K86" s="4"/>
      <c r="L86" s="38"/>
      <c r="M86" s="4"/>
      <c r="N86" s="4"/>
      <c r="O86" s="4"/>
      <c r="P86" s="4"/>
      <c r="Q86" s="4"/>
      <c r="R86" s="4"/>
      <c r="S86" s="4"/>
      <c r="T86" s="4"/>
      <c r="U86" s="4"/>
      <c r="V86" s="4"/>
      <c r="W86" s="4"/>
      <c r="X86" s="4"/>
      <c r="Y86" s="4"/>
      <c r="Z86" s="4"/>
      <c r="AA86" s="4"/>
      <c r="AB86" s="4"/>
    </row>
    <row r="87" spans="1:28" ht="13.5" customHeight="1">
      <c r="A87" s="4"/>
      <c r="B87" s="9"/>
      <c r="C87" s="9"/>
      <c r="D87" s="4"/>
      <c r="E87" s="4"/>
      <c r="F87" s="4"/>
      <c r="G87" s="4"/>
      <c r="H87" s="4"/>
      <c r="I87" s="4"/>
      <c r="J87" s="4"/>
      <c r="K87" s="4"/>
      <c r="L87" s="38"/>
      <c r="M87" s="4"/>
      <c r="N87" s="4"/>
      <c r="O87" s="4"/>
      <c r="P87" s="4"/>
      <c r="Q87" s="4"/>
      <c r="R87" s="4"/>
      <c r="S87" s="4"/>
      <c r="T87" s="4"/>
      <c r="U87" s="4"/>
      <c r="V87" s="4"/>
      <c r="W87" s="4"/>
      <c r="X87" s="4"/>
      <c r="Y87" s="4"/>
      <c r="Z87" s="4"/>
      <c r="AA87" s="4"/>
      <c r="AB87" s="4"/>
    </row>
    <row r="88" spans="1:28" ht="13.5" customHeight="1">
      <c r="A88" s="4"/>
      <c r="B88" s="9"/>
      <c r="C88" s="9"/>
      <c r="D88" s="4"/>
      <c r="E88" s="4"/>
      <c r="F88" s="4"/>
      <c r="G88" s="4"/>
      <c r="H88" s="4"/>
      <c r="I88" s="4"/>
      <c r="J88" s="4"/>
      <c r="K88" s="4"/>
      <c r="L88" s="38"/>
      <c r="M88" s="4"/>
      <c r="N88" s="4"/>
      <c r="O88" s="4"/>
      <c r="P88" s="4"/>
      <c r="Q88" s="4"/>
      <c r="R88" s="4"/>
      <c r="S88" s="4"/>
      <c r="T88" s="4"/>
      <c r="U88" s="4"/>
      <c r="V88" s="4"/>
      <c r="W88" s="4"/>
      <c r="X88" s="4"/>
      <c r="Y88" s="4"/>
      <c r="Z88" s="4"/>
      <c r="AA88" s="4"/>
      <c r="AB88" s="4"/>
    </row>
    <row r="89" spans="1:28" ht="13.5" customHeight="1">
      <c r="A89" s="4"/>
      <c r="B89" s="9"/>
      <c r="C89" s="9"/>
      <c r="D89" s="4"/>
      <c r="E89" s="4"/>
      <c r="F89" s="4"/>
      <c r="G89" s="4"/>
      <c r="H89" s="4"/>
      <c r="I89" s="4"/>
      <c r="J89" s="4"/>
      <c r="K89" s="4"/>
      <c r="L89" s="38"/>
      <c r="M89" s="4"/>
      <c r="N89" s="4"/>
      <c r="O89" s="4"/>
      <c r="P89" s="4"/>
      <c r="Q89" s="4"/>
      <c r="R89" s="4"/>
      <c r="S89" s="4"/>
      <c r="T89" s="4"/>
      <c r="U89" s="4"/>
      <c r="V89" s="4"/>
      <c r="W89" s="4"/>
      <c r="X89" s="4"/>
      <c r="Y89" s="4"/>
      <c r="Z89" s="4"/>
      <c r="AA89" s="4"/>
      <c r="AB89" s="4"/>
    </row>
    <row r="90" spans="1:28" ht="13.5" customHeight="1">
      <c r="A90" s="4"/>
      <c r="B90" s="9"/>
      <c r="C90" s="9"/>
      <c r="D90" s="4"/>
      <c r="E90" s="4"/>
      <c r="F90" s="4"/>
      <c r="G90" s="4"/>
      <c r="H90" s="4"/>
      <c r="I90" s="4"/>
      <c r="J90" s="4"/>
      <c r="K90" s="4"/>
      <c r="L90" s="38"/>
      <c r="M90" s="4"/>
      <c r="N90" s="4"/>
      <c r="O90" s="4"/>
      <c r="P90" s="4"/>
      <c r="Q90" s="4"/>
      <c r="R90" s="4"/>
      <c r="S90" s="4"/>
      <c r="T90" s="4"/>
      <c r="U90" s="4"/>
      <c r="V90" s="4"/>
      <c r="W90" s="4"/>
      <c r="X90" s="4"/>
      <c r="Y90" s="4"/>
      <c r="Z90" s="4"/>
      <c r="AA90" s="4"/>
      <c r="AB90" s="4"/>
    </row>
    <row r="91" spans="1:28" ht="13.5" customHeight="1">
      <c r="A91" s="4"/>
      <c r="B91" s="9"/>
      <c r="C91" s="9"/>
      <c r="D91" s="4"/>
      <c r="E91" s="4"/>
      <c r="F91" s="4"/>
      <c r="G91" s="4"/>
      <c r="H91" s="4"/>
      <c r="I91" s="4"/>
      <c r="J91" s="4"/>
      <c r="K91" s="4"/>
      <c r="L91" s="38"/>
      <c r="M91" s="4"/>
      <c r="N91" s="4"/>
      <c r="O91" s="4">
        <f>43-35</f>
        <v>8</v>
      </c>
      <c r="P91" s="4"/>
      <c r="Q91" s="4"/>
      <c r="R91" s="4"/>
      <c r="S91" s="4"/>
      <c r="T91" s="4"/>
      <c r="U91" s="4"/>
      <c r="V91" s="4"/>
      <c r="W91" s="4"/>
      <c r="X91" s="4"/>
      <c r="Y91" s="4"/>
      <c r="Z91" s="4"/>
      <c r="AA91" s="4"/>
      <c r="AB91" s="4"/>
    </row>
    <row r="92" spans="1:28" ht="13.5" customHeight="1">
      <c r="A92" s="4"/>
      <c r="B92" s="9"/>
      <c r="C92" s="9"/>
      <c r="D92" s="4"/>
      <c r="E92" s="4"/>
      <c r="F92" s="4"/>
      <c r="G92" s="4"/>
      <c r="H92" s="4"/>
      <c r="I92" s="4"/>
      <c r="J92" s="4"/>
      <c r="K92" s="4"/>
      <c r="L92" s="38"/>
      <c r="M92" s="4"/>
      <c r="N92" s="4"/>
      <c r="O92" s="4"/>
      <c r="P92" s="4"/>
      <c r="Q92" s="4"/>
      <c r="R92" s="4"/>
      <c r="S92" s="4"/>
      <c r="T92" s="4"/>
      <c r="U92" s="4"/>
      <c r="V92" s="4"/>
      <c r="W92" s="4"/>
      <c r="X92" s="4"/>
      <c r="Y92" s="4"/>
      <c r="Z92" s="4"/>
      <c r="AA92" s="4"/>
      <c r="AB92" s="4"/>
    </row>
    <row r="93" spans="1:28" ht="13.5" customHeight="1">
      <c r="A93" s="4"/>
      <c r="B93" s="9"/>
      <c r="C93" s="9"/>
      <c r="D93" s="4"/>
      <c r="E93" s="4"/>
      <c r="F93" s="4"/>
      <c r="G93" s="4"/>
      <c r="H93" s="4"/>
      <c r="I93" s="4"/>
      <c r="J93" s="4"/>
      <c r="K93" s="4"/>
      <c r="L93" s="38"/>
      <c r="M93" s="4"/>
      <c r="N93" s="4"/>
      <c r="O93" s="4"/>
      <c r="P93" s="4"/>
      <c r="Q93" s="4"/>
      <c r="R93" s="4"/>
      <c r="S93" s="4"/>
      <c r="T93" s="4"/>
      <c r="U93" s="4"/>
      <c r="V93" s="4"/>
      <c r="W93" s="4"/>
      <c r="X93" s="4"/>
      <c r="Y93" s="4"/>
      <c r="Z93" s="4"/>
      <c r="AA93" s="4"/>
      <c r="AB93" s="4"/>
    </row>
    <row r="94" spans="1:28" ht="13.5" customHeight="1">
      <c r="A94" s="4"/>
      <c r="B94" s="9"/>
      <c r="C94" s="9"/>
      <c r="D94" s="4"/>
      <c r="E94" s="4"/>
      <c r="F94" s="4"/>
      <c r="G94" s="4"/>
      <c r="H94" s="4"/>
      <c r="I94" s="4"/>
      <c r="J94" s="4"/>
      <c r="K94" s="4"/>
      <c r="L94" s="38"/>
      <c r="M94" s="4"/>
      <c r="N94" s="4"/>
      <c r="O94" s="4"/>
      <c r="P94" s="4"/>
      <c r="Q94" s="4"/>
      <c r="R94" s="4"/>
      <c r="S94" s="4"/>
      <c r="T94" s="4"/>
      <c r="U94" s="4"/>
      <c r="V94" s="4"/>
      <c r="W94" s="4"/>
      <c r="X94" s="4"/>
      <c r="Y94" s="4"/>
      <c r="Z94" s="4"/>
      <c r="AA94" s="4"/>
      <c r="AB94" s="4"/>
    </row>
    <row r="95" spans="1:28" ht="13.5" customHeight="1">
      <c r="A95" s="4"/>
      <c r="B95" s="9"/>
      <c r="C95" s="9"/>
      <c r="D95" s="4"/>
      <c r="E95" s="4"/>
      <c r="F95" s="4"/>
      <c r="G95" s="4"/>
      <c r="H95" s="4"/>
      <c r="I95" s="4"/>
      <c r="J95" s="4"/>
      <c r="K95" s="4"/>
      <c r="L95" s="38"/>
      <c r="M95" s="4"/>
      <c r="N95" s="4"/>
      <c r="O95" s="4"/>
      <c r="P95" s="4"/>
      <c r="Q95" s="4"/>
      <c r="R95" s="4"/>
      <c r="S95" s="4"/>
      <c r="T95" s="4"/>
      <c r="U95" s="4"/>
      <c r="V95" s="4"/>
      <c r="W95" s="4"/>
      <c r="X95" s="4"/>
      <c r="Y95" s="4"/>
      <c r="Z95" s="4"/>
      <c r="AA95" s="4"/>
      <c r="AB95" s="4"/>
    </row>
    <row r="96" spans="1:28" ht="13.5" customHeight="1">
      <c r="A96" s="4"/>
      <c r="B96" s="9"/>
      <c r="C96" s="9"/>
      <c r="D96" s="4"/>
      <c r="E96" s="4"/>
      <c r="F96" s="4"/>
      <c r="G96" s="4"/>
      <c r="H96" s="4"/>
      <c r="I96" s="4"/>
      <c r="J96" s="4"/>
      <c r="K96" s="4"/>
      <c r="L96" s="38"/>
      <c r="M96" s="4"/>
      <c r="N96" s="4"/>
      <c r="O96" s="4"/>
      <c r="P96" s="4"/>
      <c r="Q96" s="4"/>
      <c r="R96" s="4"/>
      <c r="S96" s="4"/>
      <c r="T96" s="4"/>
      <c r="U96" s="4"/>
      <c r="V96" s="4"/>
      <c r="W96" s="4"/>
      <c r="X96" s="4"/>
      <c r="Y96" s="4"/>
      <c r="Z96" s="4"/>
      <c r="AA96" s="4"/>
      <c r="AB96" s="4"/>
    </row>
    <row r="97" spans="1:28" ht="13.5" customHeight="1">
      <c r="A97" s="4"/>
      <c r="B97" s="9"/>
      <c r="C97" s="9"/>
      <c r="D97" s="4"/>
      <c r="E97" s="4"/>
      <c r="F97" s="4"/>
      <c r="G97" s="4"/>
      <c r="H97" s="4"/>
      <c r="I97" s="4"/>
      <c r="J97" s="4"/>
      <c r="K97" s="4"/>
      <c r="L97" s="38"/>
      <c r="M97" s="4"/>
      <c r="N97" s="4"/>
      <c r="O97" s="4"/>
      <c r="P97" s="4"/>
      <c r="Q97" s="4"/>
      <c r="R97" s="4"/>
      <c r="S97" s="4"/>
      <c r="T97" s="4"/>
      <c r="U97" s="4"/>
      <c r="V97" s="4"/>
      <c r="W97" s="4"/>
      <c r="X97" s="4"/>
      <c r="Y97" s="4"/>
      <c r="Z97" s="4"/>
      <c r="AA97" s="4"/>
      <c r="AB97" s="4"/>
    </row>
    <row r="98" spans="1:28" ht="13.5" customHeight="1">
      <c r="A98" s="4"/>
      <c r="B98" s="9"/>
      <c r="C98" s="9"/>
      <c r="D98" s="4"/>
      <c r="E98" s="4"/>
      <c r="F98" s="4"/>
      <c r="G98" s="4"/>
      <c r="H98" s="4"/>
      <c r="I98" s="4"/>
      <c r="J98" s="4"/>
      <c r="K98" s="4"/>
      <c r="L98" s="38"/>
      <c r="M98" s="4"/>
      <c r="N98" s="4"/>
      <c r="O98" s="4"/>
      <c r="P98" s="4"/>
      <c r="Q98" s="4"/>
      <c r="R98" s="4"/>
      <c r="S98" s="4"/>
      <c r="T98" s="4"/>
      <c r="U98" s="4"/>
      <c r="V98" s="4"/>
      <c r="W98" s="4"/>
      <c r="X98" s="4"/>
      <c r="Y98" s="4"/>
      <c r="Z98" s="4"/>
      <c r="AA98" s="4"/>
      <c r="AB98" s="4"/>
    </row>
    <row r="99" spans="1:28" ht="13.5" customHeight="1">
      <c r="A99" s="4"/>
      <c r="B99" s="9"/>
      <c r="C99" s="9"/>
      <c r="D99" s="4"/>
      <c r="E99" s="4"/>
      <c r="F99" s="4"/>
      <c r="G99" s="4"/>
      <c r="H99" s="4"/>
      <c r="I99" s="4"/>
      <c r="J99" s="4"/>
      <c r="K99" s="4"/>
      <c r="L99" s="38"/>
      <c r="M99" s="4"/>
      <c r="N99" s="4"/>
      <c r="O99" s="4"/>
      <c r="P99" s="4"/>
      <c r="Q99" s="4"/>
      <c r="R99" s="4"/>
      <c r="S99" s="4"/>
      <c r="T99" s="4"/>
      <c r="U99" s="4"/>
      <c r="V99" s="4"/>
      <c r="W99" s="4"/>
      <c r="X99" s="4"/>
      <c r="Y99" s="4"/>
      <c r="Z99" s="4"/>
      <c r="AA99" s="4"/>
      <c r="AB99" s="4"/>
    </row>
    <row r="100" spans="1:28" ht="13.5" customHeight="1">
      <c r="A100" s="4"/>
      <c r="B100" s="9"/>
      <c r="C100" s="9"/>
      <c r="D100" s="4"/>
      <c r="E100" s="4"/>
      <c r="F100" s="4"/>
      <c r="G100" s="4"/>
      <c r="H100" s="4"/>
      <c r="I100" s="4"/>
      <c r="J100" s="4"/>
      <c r="K100" s="4"/>
      <c r="L100" s="38"/>
      <c r="M100" s="4"/>
      <c r="N100" s="4"/>
      <c r="O100" s="4"/>
      <c r="P100" s="4"/>
      <c r="Q100" s="4"/>
      <c r="R100" s="4"/>
      <c r="S100" s="4"/>
      <c r="T100" s="4"/>
      <c r="U100" s="4"/>
      <c r="V100" s="4"/>
      <c r="W100" s="4"/>
      <c r="X100" s="4"/>
      <c r="Y100" s="4"/>
      <c r="Z100" s="4"/>
      <c r="AA100" s="4"/>
      <c r="AB100" s="4"/>
    </row>
    <row r="101" spans="1:28" ht="13.5" customHeight="1">
      <c r="A101" s="4"/>
      <c r="B101" s="9"/>
      <c r="C101" s="9"/>
      <c r="D101" s="4"/>
      <c r="E101" s="4"/>
      <c r="F101" s="4"/>
      <c r="G101" s="4"/>
      <c r="H101" s="4"/>
      <c r="I101" s="4"/>
      <c r="J101" s="4"/>
      <c r="K101" s="4"/>
      <c r="L101" s="38"/>
      <c r="M101" s="4"/>
      <c r="N101" s="4"/>
      <c r="O101" s="4"/>
      <c r="P101" s="4"/>
      <c r="Q101" s="4"/>
      <c r="R101" s="4"/>
      <c r="S101" s="4"/>
      <c r="T101" s="4"/>
      <c r="U101" s="4"/>
      <c r="V101" s="4"/>
      <c r="W101" s="4"/>
      <c r="X101" s="4"/>
      <c r="Y101" s="4"/>
      <c r="Z101" s="4"/>
      <c r="AA101" s="4"/>
      <c r="AB101" s="4"/>
    </row>
    <row r="102" spans="1:28" ht="13.5" customHeight="1">
      <c r="A102" s="4"/>
      <c r="B102" s="9"/>
      <c r="C102" s="9"/>
      <c r="D102" s="4"/>
      <c r="E102" s="4"/>
      <c r="F102" s="4"/>
      <c r="G102" s="4"/>
      <c r="H102" s="4"/>
      <c r="I102" s="4"/>
      <c r="J102" s="4"/>
      <c r="K102" s="4"/>
      <c r="L102" s="38"/>
      <c r="M102" s="4"/>
      <c r="N102" s="4"/>
      <c r="O102" s="4"/>
      <c r="P102" s="4"/>
      <c r="Q102" s="4"/>
      <c r="R102" s="4"/>
      <c r="S102" s="4"/>
      <c r="T102" s="4"/>
      <c r="U102" s="4"/>
      <c r="V102" s="4"/>
      <c r="W102" s="4"/>
      <c r="X102" s="4"/>
      <c r="Y102" s="4"/>
      <c r="Z102" s="4"/>
      <c r="AA102" s="4"/>
      <c r="AB102" s="4"/>
    </row>
    <row r="103" spans="1:28" ht="13.5" customHeight="1">
      <c r="A103" s="4"/>
      <c r="B103" s="9"/>
      <c r="C103" s="9"/>
      <c r="D103" s="4"/>
      <c r="E103" s="4"/>
      <c r="F103" s="4"/>
      <c r="G103" s="4"/>
      <c r="H103" s="4"/>
      <c r="I103" s="4"/>
      <c r="J103" s="4"/>
      <c r="K103" s="4"/>
      <c r="L103" s="38"/>
      <c r="M103" s="4"/>
      <c r="N103" s="4"/>
      <c r="O103" s="4"/>
      <c r="P103" s="4"/>
      <c r="Q103" s="4"/>
      <c r="R103" s="4"/>
      <c r="S103" s="4"/>
      <c r="T103" s="4"/>
      <c r="U103" s="4"/>
      <c r="V103" s="4"/>
      <c r="W103" s="4"/>
      <c r="X103" s="4"/>
      <c r="Y103" s="4"/>
      <c r="Z103" s="4"/>
      <c r="AA103" s="4"/>
      <c r="AB103" s="4"/>
    </row>
    <row r="104" spans="1:28" ht="13.5" customHeight="1">
      <c r="A104" s="4"/>
      <c r="B104" s="9"/>
      <c r="C104" s="9"/>
      <c r="D104" s="4"/>
      <c r="E104" s="4"/>
      <c r="F104" s="4"/>
      <c r="G104" s="4"/>
      <c r="H104" s="4"/>
      <c r="I104" s="4"/>
      <c r="J104" s="4"/>
      <c r="K104" s="4"/>
      <c r="L104" s="38"/>
      <c r="M104" s="4"/>
      <c r="N104" s="4"/>
      <c r="O104" s="4"/>
      <c r="P104" s="4"/>
      <c r="Q104" s="4"/>
      <c r="R104" s="4"/>
      <c r="S104" s="4"/>
      <c r="T104" s="4"/>
      <c r="U104" s="4"/>
      <c r="V104" s="4"/>
      <c r="W104" s="4"/>
      <c r="X104" s="4"/>
      <c r="Y104" s="4"/>
      <c r="Z104" s="4"/>
      <c r="AA104" s="4"/>
      <c r="AB104" s="4"/>
    </row>
    <row r="105" spans="1:28" ht="13.5" customHeight="1">
      <c r="A105" s="4"/>
      <c r="B105" s="9"/>
      <c r="C105" s="9"/>
      <c r="D105" s="4"/>
      <c r="E105" s="4"/>
      <c r="F105" s="4"/>
      <c r="G105" s="4"/>
      <c r="H105" s="4"/>
      <c r="I105" s="4"/>
      <c r="J105" s="4"/>
      <c r="K105" s="4"/>
      <c r="L105" s="38"/>
      <c r="M105" s="4"/>
      <c r="N105" s="4"/>
      <c r="O105" s="4"/>
      <c r="P105" s="4"/>
      <c r="Q105" s="4"/>
      <c r="R105" s="4"/>
      <c r="S105" s="4"/>
      <c r="T105" s="4"/>
      <c r="U105" s="4"/>
      <c r="V105" s="4"/>
      <c r="W105" s="4"/>
      <c r="X105" s="4"/>
      <c r="Y105" s="4"/>
      <c r="Z105" s="4"/>
      <c r="AA105" s="4"/>
      <c r="AB105" s="4"/>
    </row>
    <row r="106" spans="1:28" ht="13.5" customHeight="1">
      <c r="A106" s="4"/>
      <c r="B106" s="9"/>
      <c r="C106" s="9"/>
      <c r="D106" s="4"/>
      <c r="E106" s="4"/>
      <c r="F106" s="4"/>
      <c r="G106" s="4"/>
      <c r="H106" s="4"/>
      <c r="I106" s="4"/>
      <c r="J106" s="4"/>
      <c r="K106" s="4"/>
      <c r="L106" s="38"/>
      <c r="M106" s="4"/>
      <c r="N106" s="4"/>
      <c r="O106" s="4"/>
      <c r="P106" s="4"/>
      <c r="Q106" s="4"/>
      <c r="R106" s="4"/>
      <c r="S106" s="4"/>
      <c r="T106" s="4"/>
      <c r="U106" s="4"/>
      <c r="V106" s="4"/>
      <c r="W106" s="4"/>
      <c r="X106" s="4"/>
      <c r="Y106" s="4"/>
      <c r="Z106" s="4"/>
      <c r="AA106" s="4"/>
      <c r="AB106" s="4"/>
    </row>
    <row r="107" spans="1:28" ht="13.5" customHeight="1">
      <c r="A107" s="4"/>
      <c r="B107" s="9"/>
      <c r="C107" s="9"/>
      <c r="D107" s="4"/>
      <c r="E107" s="4"/>
      <c r="F107" s="4"/>
      <c r="G107" s="4"/>
      <c r="H107" s="4"/>
      <c r="I107" s="4"/>
      <c r="J107" s="4"/>
      <c r="K107" s="4"/>
      <c r="L107" s="38"/>
      <c r="M107" s="4"/>
      <c r="N107" s="4"/>
      <c r="O107" s="4"/>
      <c r="P107" s="4"/>
      <c r="Q107" s="4"/>
      <c r="R107" s="4"/>
      <c r="S107" s="4"/>
      <c r="T107" s="4"/>
      <c r="U107" s="4"/>
      <c r="V107" s="4"/>
      <c r="W107" s="4"/>
      <c r="X107" s="4"/>
      <c r="Y107" s="4"/>
      <c r="Z107" s="4"/>
      <c r="AA107" s="4"/>
      <c r="AB107" s="4"/>
    </row>
    <row r="108" spans="1:28" ht="13.5" customHeight="1">
      <c r="A108" s="4"/>
      <c r="B108" s="9"/>
      <c r="C108" s="9"/>
      <c r="D108" s="4"/>
      <c r="E108" s="4"/>
      <c r="F108" s="4"/>
      <c r="G108" s="4"/>
      <c r="H108" s="4"/>
      <c r="I108" s="4"/>
      <c r="J108" s="4"/>
      <c r="K108" s="4"/>
      <c r="L108" s="38"/>
      <c r="M108" s="4"/>
      <c r="N108" s="4"/>
      <c r="O108" s="4"/>
      <c r="P108" s="4"/>
      <c r="Q108" s="4"/>
      <c r="R108" s="4"/>
      <c r="S108" s="4"/>
      <c r="T108" s="4"/>
      <c r="U108" s="4"/>
      <c r="V108" s="4"/>
      <c r="W108" s="4"/>
      <c r="X108" s="4"/>
      <c r="Y108" s="4"/>
      <c r="Z108" s="4"/>
      <c r="AA108" s="4"/>
      <c r="AB108" s="4"/>
    </row>
    <row r="109" spans="1:28" ht="13.5" customHeight="1">
      <c r="A109" s="4"/>
      <c r="B109" s="9"/>
      <c r="C109" s="9"/>
      <c r="D109" s="4"/>
      <c r="E109" s="4"/>
      <c r="F109" s="4"/>
      <c r="G109" s="4"/>
      <c r="H109" s="4"/>
      <c r="I109" s="4"/>
      <c r="J109" s="4"/>
      <c r="K109" s="4"/>
      <c r="L109" s="38"/>
      <c r="M109" s="4"/>
      <c r="N109" s="4"/>
      <c r="O109" s="4"/>
      <c r="P109" s="4"/>
      <c r="Q109" s="4"/>
      <c r="R109" s="4"/>
      <c r="S109" s="4"/>
      <c r="T109" s="4"/>
      <c r="U109" s="4"/>
      <c r="V109" s="4"/>
      <c r="W109" s="4"/>
      <c r="X109" s="4"/>
      <c r="Y109" s="4"/>
      <c r="Z109" s="4"/>
      <c r="AA109" s="4"/>
      <c r="AB109" s="4"/>
    </row>
    <row r="110" spans="1:28" ht="13.5" customHeight="1">
      <c r="A110" s="4"/>
      <c r="B110" s="9"/>
      <c r="C110" s="9"/>
      <c r="D110" s="4"/>
      <c r="E110" s="4"/>
      <c r="F110" s="4"/>
      <c r="G110" s="4"/>
      <c r="H110" s="4"/>
      <c r="I110" s="4"/>
      <c r="J110" s="4"/>
      <c r="K110" s="4"/>
      <c r="L110" s="38"/>
      <c r="M110" s="4"/>
      <c r="N110" s="4"/>
      <c r="O110" s="4"/>
      <c r="P110" s="4"/>
      <c r="Q110" s="4"/>
      <c r="R110" s="4"/>
      <c r="S110" s="4"/>
      <c r="T110" s="4"/>
      <c r="U110" s="4"/>
      <c r="V110" s="4"/>
      <c r="W110" s="4"/>
      <c r="X110" s="4"/>
      <c r="Y110" s="4"/>
      <c r="Z110" s="4"/>
      <c r="AA110" s="4"/>
      <c r="AB110" s="4"/>
    </row>
    <row r="111" spans="1:28" ht="13.5" customHeight="1">
      <c r="A111" s="4"/>
      <c r="B111" s="9"/>
      <c r="C111" s="9"/>
      <c r="D111" s="4"/>
      <c r="E111" s="4"/>
      <c r="F111" s="4"/>
      <c r="G111" s="4"/>
      <c r="H111" s="4"/>
      <c r="I111" s="4"/>
      <c r="J111" s="4"/>
      <c r="K111" s="4"/>
      <c r="L111" s="38"/>
      <c r="M111" s="4"/>
      <c r="N111" s="4"/>
      <c r="O111" s="4"/>
      <c r="P111" s="4"/>
      <c r="Q111" s="4"/>
      <c r="R111" s="4"/>
      <c r="S111" s="4"/>
      <c r="T111" s="4"/>
      <c r="U111" s="4"/>
      <c r="V111" s="4"/>
      <c r="W111" s="4"/>
      <c r="X111" s="4"/>
      <c r="Y111" s="4"/>
      <c r="Z111" s="4"/>
      <c r="AA111" s="4"/>
      <c r="AB111" s="4"/>
    </row>
    <row r="112" spans="1:28" ht="13.5" customHeight="1">
      <c r="A112" s="4"/>
      <c r="B112" s="9"/>
      <c r="C112" s="9"/>
      <c r="D112" s="4"/>
      <c r="E112" s="4"/>
      <c r="F112" s="4"/>
      <c r="G112" s="4"/>
      <c r="H112" s="4"/>
      <c r="I112" s="4"/>
      <c r="J112" s="4"/>
      <c r="K112" s="4"/>
      <c r="L112" s="38"/>
      <c r="M112" s="4"/>
      <c r="N112" s="4"/>
      <c r="O112" s="4"/>
      <c r="P112" s="4"/>
      <c r="Q112" s="4"/>
      <c r="R112" s="4"/>
      <c r="S112" s="4"/>
      <c r="T112" s="4"/>
      <c r="U112" s="4"/>
      <c r="V112" s="4"/>
      <c r="W112" s="4"/>
      <c r="X112" s="4"/>
      <c r="Y112" s="4"/>
      <c r="Z112" s="4"/>
      <c r="AA112" s="4"/>
      <c r="AB112" s="4"/>
    </row>
    <row r="113" spans="1:28" ht="13.5" customHeight="1">
      <c r="A113" s="4"/>
      <c r="B113" s="9"/>
      <c r="C113" s="9"/>
      <c r="D113" s="4"/>
      <c r="E113" s="4"/>
      <c r="F113" s="4"/>
      <c r="G113" s="4"/>
      <c r="H113" s="4"/>
      <c r="I113" s="4"/>
      <c r="J113" s="4"/>
      <c r="K113" s="4"/>
      <c r="L113" s="38"/>
      <c r="M113" s="4"/>
      <c r="N113" s="4"/>
      <c r="O113" s="4"/>
      <c r="P113" s="4"/>
      <c r="Q113" s="4"/>
      <c r="R113" s="4"/>
      <c r="S113" s="4"/>
      <c r="T113" s="4"/>
      <c r="U113" s="4"/>
      <c r="V113" s="4"/>
      <c r="W113" s="4"/>
      <c r="X113" s="4"/>
      <c r="Y113" s="4"/>
      <c r="Z113" s="4"/>
      <c r="AA113" s="4"/>
      <c r="AB113" s="4"/>
    </row>
    <row r="114" spans="1:28" ht="13.5" customHeight="1">
      <c r="A114" s="4"/>
      <c r="B114" s="9"/>
      <c r="C114" s="9"/>
      <c r="D114" s="4"/>
      <c r="E114" s="4"/>
      <c r="F114" s="4"/>
      <c r="G114" s="4"/>
      <c r="H114" s="4"/>
      <c r="I114" s="4"/>
      <c r="J114" s="4"/>
      <c r="K114" s="4"/>
      <c r="L114" s="38"/>
      <c r="M114" s="4"/>
      <c r="N114" s="4"/>
      <c r="O114" s="4"/>
      <c r="P114" s="4"/>
      <c r="Q114" s="4"/>
      <c r="R114" s="4"/>
      <c r="S114" s="4"/>
      <c r="T114" s="4"/>
      <c r="U114" s="4"/>
      <c r="V114" s="4"/>
      <c r="W114" s="4"/>
      <c r="X114" s="4"/>
      <c r="Y114" s="4"/>
      <c r="Z114" s="4"/>
      <c r="AA114" s="4"/>
      <c r="AB114" s="4"/>
    </row>
    <row r="115" spans="1:28" ht="13.5" customHeight="1">
      <c r="A115" s="4"/>
      <c r="B115" s="9"/>
      <c r="C115" s="9"/>
      <c r="D115" s="4"/>
      <c r="E115" s="4"/>
      <c r="F115" s="4"/>
      <c r="G115" s="4"/>
      <c r="H115" s="4"/>
      <c r="I115" s="4"/>
      <c r="J115" s="4"/>
      <c r="K115" s="4"/>
      <c r="L115" s="38"/>
      <c r="M115" s="4"/>
      <c r="N115" s="4"/>
      <c r="O115" s="4"/>
      <c r="P115" s="4"/>
      <c r="Q115" s="4"/>
      <c r="R115" s="4"/>
      <c r="S115" s="4"/>
      <c r="T115" s="4"/>
      <c r="U115" s="4"/>
      <c r="V115" s="4"/>
      <c r="W115" s="4"/>
      <c r="X115" s="4"/>
      <c r="Y115" s="4"/>
      <c r="Z115" s="4"/>
      <c r="AA115" s="4"/>
      <c r="AB115" s="4"/>
    </row>
    <row r="116" spans="1:28" ht="13.5" customHeight="1">
      <c r="A116" s="4"/>
      <c r="B116" s="9"/>
      <c r="C116" s="9"/>
      <c r="D116" s="4"/>
      <c r="E116" s="4"/>
      <c r="F116" s="4"/>
      <c r="G116" s="4"/>
      <c r="H116" s="4"/>
      <c r="I116" s="4"/>
      <c r="J116" s="4"/>
      <c r="K116" s="4"/>
      <c r="L116" s="38"/>
      <c r="M116" s="4"/>
      <c r="N116" s="4"/>
      <c r="O116" s="4"/>
      <c r="P116" s="4"/>
      <c r="Q116" s="4"/>
      <c r="R116" s="4"/>
      <c r="S116" s="4"/>
      <c r="T116" s="4"/>
      <c r="U116" s="4"/>
      <c r="V116" s="4"/>
      <c r="W116" s="4"/>
      <c r="X116" s="4"/>
      <c r="Y116" s="4"/>
      <c r="Z116" s="4"/>
      <c r="AA116" s="4"/>
      <c r="AB116" s="4"/>
    </row>
    <row r="117" spans="1:28" ht="13.5" customHeight="1">
      <c r="A117" s="4"/>
      <c r="B117" s="9"/>
      <c r="C117" s="9"/>
      <c r="D117" s="4"/>
      <c r="E117" s="4"/>
      <c r="F117" s="4"/>
      <c r="G117" s="4"/>
      <c r="H117" s="4"/>
      <c r="I117" s="4"/>
      <c r="J117" s="4"/>
      <c r="K117" s="4"/>
      <c r="L117" s="38"/>
      <c r="M117" s="4"/>
      <c r="N117" s="4"/>
      <c r="O117" s="4"/>
      <c r="P117" s="4"/>
      <c r="Q117" s="4"/>
      <c r="R117" s="4"/>
      <c r="S117" s="4"/>
      <c r="T117" s="4"/>
      <c r="U117" s="4"/>
      <c r="V117" s="4"/>
      <c r="W117" s="4"/>
      <c r="X117" s="4"/>
      <c r="Y117" s="4"/>
      <c r="Z117" s="4"/>
      <c r="AA117" s="4"/>
      <c r="AB117" s="4"/>
    </row>
    <row r="118" spans="1:28" ht="13.5" customHeight="1">
      <c r="A118" s="4"/>
      <c r="B118" s="9"/>
      <c r="C118" s="9"/>
      <c r="D118" s="4"/>
      <c r="E118" s="4"/>
      <c r="F118" s="4"/>
      <c r="G118" s="4"/>
      <c r="H118" s="4"/>
      <c r="I118" s="4"/>
      <c r="J118" s="4"/>
      <c r="K118" s="4"/>
      <c r="L118" s="38"/>
      <c r="M118" s="4"/>
      <c r="N118" s="4"/>
      <c r="O118" s="4"/>
      <c r="P118" s="4"/>
      <c r="Q118" s="4"/>
      <c r="R118" s="4"/>
      <c r="S118" s="4"/>
      <c r="T118" s="4"/>
      <c r="U118" s="4"/>
      <c r="V118" s="4"/>
      <c r="W118" s="4"/>
      <c r="X118" s="4"/>
      <c r="Y118" s="4"/>
      <c r="Z118" s="4"/>
      <c r="AA118" s="4"/>
      <c r="AB118" s="4"/>
    </row>
    <row r="119" spans="1:28" ht="13.5" customHeight="1">
      <c r="A119" s="4"/>
      <c r="B119" s="9"/>
      <c r="C119" s="9"/>
      <c r="D119" s="4"/>
      <c r="E119" s="4"/>
      <c r="F119" s="4"/>
      <c r="G119" s="4"/>
      <c r="H119" s="4"/>
      <c r="I119" s="4"/>
      <c r="J119" s="4"/>
      <c r="K119" s="4"/>
      <c r="L119" s="38"/>
      <c r="M119" s="4"/>
      <c r="N119" s="4"/>
      <c r="O119" s="4"/>
      <c r="P119" s="4"/>
      <c r="Q119" s="4"/>
      <c r="R119" s="4"/>
      <c r="S119" s="4"/>
      <c r="T119" s="4"/>
      <c r="U119" s="4"/>
      <c r="V119" s="4"/>
      <c r="W119" s="4"/>
      <c r="X119" s="4"/>
      <c r="Y119" s="4"/>
      <c r="Z119" s="4"/>
      <c r="AA119" s="4"/>
      <c r="AB119" s="4"/>
    </row>
    <row r="120" spans="1:28" ht="13.5" customHeight="1">
      <c r="A120" s="4"/>
      <c r="B120" s="9"/>
      <c r="C120" s="9"/>
      <c r="D120" s="4"/>
      <c r="E120" s="4"/>
      <c r="F120" s="4"/>
      <c r="G120" s="4"/>
      <c r="H120" s="4"/>
      <c r="I120" s="4"/>
      <c r="J120" s="4"/>
      <c r="K120" s="4"/>
      <c r="L120" s="38"/>
      <c r="M120" s="4"/>
      <c r="N120" s="4"/>
      <c r="O120" s="4"/>
      <c r="P120" s="4"/>
      <c r="Q120" s="4"/>
      <c r="R120" s="4"/>
      <c r="S120" s="4"/>
      <c r="T120" s="4"/>
      <c r="U120" s="4"/>
      <c r="V120" s="4"/>
      <c r="W120" s="4"/>
      <c r="X120" s="4"/>
      <c r="Y120" s="4"/>
      <c r="Z120" s="4"/>
      <c r="AA120" s="4"/>
      <c r="AB120" s="4"/>
    </row>
    <row r="121" spans="1:28" ht="13.5" customHeight="1">
      <c r="A121" s="4"/>
      <c r="B121" s="9"/>
      <c r="C121" s="9"/>
      <c r="D121" s="4"/>
      <c r="E121" s="4"/>
      <c r="F121" s="4"/>
      <c r="G121" s="4"/>
      <c r="H121" s="4"/>
      <c r="I121" s="4"/>
      <c r="J121" s="4"/>
      <c r="K121" s="4"/>
      <c r="L121" s="38"/>
      <c r="M121" s="4"/>
      <c r="N121" s="4"/>
      <c r="O121" s="4"/>
      <c r="P121" s="4"/>
      <c r="Q121" s="4"/>
      <c r="R121" s="4"/>
      <c r="S121" s="4"/>
      <c r="T121" s="4"/>
      <c r="U121" s="4"/>
      <c r="V121" s="4"/>
      <c r="W121" s="4"/>
      <c r="X121" s="4"/>
      <c r="Y121" s="4"/>
      <c r="Z121" s="4"/>
      <c r="AA121" s="4"/>
      <c r="AB121" s="4"/>
    </row>
    <row r="122" spans="1:28" ht="13.5" customHeight="1">
      <c r="A122" s="4"/>
      <c r="B122" s="9"/>
      <c r="C122" s="9"/>
      <c r="D122" s="4"/>
      <c r="E122" s="4"/>
      <c r="F122" s="4"/>
      <c r="G122" s="4"/>
      <c r="H122" s="4"/>
      <c r="I122" s="4"/>
      <c r="J122" s="4"/>
      <c r="K122" s="4"/>
      <c r="L122" s="38"/>
      <c r="M122" s="4"/>
      <c r="N122" s="4"/>
      <c r="O122" s="4"/>
      <c r="P122" s="4"/>
      <c r="Q122" s="4"/>
      <c r="R122" s="4"/>
      <c r="S122" s="4"/>
      <c r="T122" s="4"/>
      <c r="U122" s="4"/>
      <c r="V122" s="4"/>
      <c r="W122" s="4"/>
      <c r="X122" s="4"/>
      <c r="Y122" s="4"/>
      <c r="Z122" s="4"/>
      <c r="AA122" s="4"/>
      <c r="AB122" s="4"/>
    </row>
    <row r="123" spans="1:28" ht="13.5" customHeight="1">
      <c r="A123" s="4"/>
      <c r="B123" s="9"/>
      <c r="C123" s="9"/>
      <c r="D123" s="4"/>
      <c r="E123" s="4"/>
      <c r="F123" s="4"/>
      <c r="G123" s="4"/>
      <c r="H123" s="4"/>
      <c r="I123" s="4"/>
      <c r="J123" s="4"/>
      <c r="K123" s="4"/>
      <c r="L123" s="38"/>
      <c r="M123" s="4"/>
      <c r="N123" s="4"/>
      <c r="O123" s="4"/>
      <c r="P123" s="4"/>
      <c r="Q123" s="4"/>
      <c r="R123" s="4"/>
      <c r="S123" s="4"/>
      <c r="T123" s="4"/>
      <c r="U123" s="4"/>
      <c r="V123" s="4"/>
      <c r="W123" s="4"/>
      <c r="X123" s="4"/>
      <c r="Y123" s="4"/>
      <c r="Z123" s="4"/>
      <c r="AA123" s="4"/>
      <c r="AB123" s="4"/>
    </row>
    <row r="124" spans="1:28" ht="13.5" customHeight="1">
      <c r="A124" s="4"/>
      <c r="B124" s="9"/>
      <c r="C124" s="9"/>
      <c r="D124" s="4"/>
      <c r="E124" s="4"/>
      <c r="F124" s="4"/>
      <c r="G124" s="4"/>
      <c r="H124" s="4"/>
      <c r="I124" s="4"/>
      <c r="J124" s="4"/>
      <c r="K124" s="4"/>
      <c r="L124" s="38"/>
      <c r="M124" s="4"/>
      <c r="N124" s="4"/>
      <c r="O124" s="4"/>
      <c r="P124" s="4"/>
      <c r="Q124" s="4"/>
      <c r="R124" s="4"/>
      <c r="S124" s="4"/>
      <c r="T124" s="4"/>
      <c r="U124" s="4"/>
      <c r="V124" s="4"/>
      <c r="W124" s="4"/>
      <c r="X124" s="4"/>
      <c r="Y124" s="4"/>
      <c r="Z124" s="4"/>
      <c r="AA124" s="4"/>
      <c r="AB124" s="4"/>
    </row>
    <row r="125" spans="1:28" ht="13.5" customHeight="1">
      <c r="A125" s="4"/>
      <c r="B125" s="9"/>
      <c r="C125" s="9"/>
      <c r="D125" s="4"/>
      <c r="E125" s="4"/>
      <c r="F125" s="4"/>
      <c r="G125" s="4"/>
      <c r="H125" s="4"/>
      <c r="I125" s="4"/>
      <c r="J125" s="4"/>
      <c r="K125" s="4"/>
      <c r="L125" s="38"/>
      <c r="M125" s="4"/>
      <c r="N125" s="4"/>
      <c r="O125" s="4"/>
      <c r="P125" s="4"/>
      <c r="Q125" s="4"/>
      <c r="R125" s="4"/>
      <c r="S125" s="4"/>
      <c r="T125" s="4"/>
      <c r="U125" s="4"/>
      <c r="V125" s="4"/>
      <c r="W125" s="4"/>
      <c r="X125" s="4"/>
      <c r="Y125" s="4"/>
      <c r="Z125" s="4"/>
      <c r="AA125" s="4"/>
      <c r="AB125" s="4"/>
    </row>
    <row r="126" spans="1:28" ht="13.5" customHeight="1">
      <c r="A126" s="4"/>
      <c r="B126" s="9"/>
      <c r="C126" s="9"/>
      <c r="D126" s="4"/>
      <c r="E126" s="4"/>
      <c r="F126" s="4"/>
      <c r="G126" s="4"/>
      <c r="H126" s="4"/>
      <c r="I126" s="4"/>
      <c r="J126" s="4"/>
      <c r="K126" s="4"/>
      <c r="L126" s="38"/>
      <c r="M126" s="4"/>
      <c r="N126" s="4"/>
      <c r="O126" s="4"/>
      <c r="P126" s="4"/>
      <c r="Q126" s="4"/>
      <c r="R126" s="4"/>
      <c r="S126" s="4"/>
      <c r="T126" s="4"/>
      <c r="U126" s="4"/>
      <c r="V126" s="4"/>
      <c r="W126" s="4"/>
      <c r="X126" s="4"/>
      <c r="Y126" s="4"/>
      <c r="Z126" s="4"/>
      <c r="AA126" s="4"/>
      <c r="AB126" s="4"/>
    </row>
    <row r="127" spans="1:28" ht="13.5" customHeight="1">
      <c r="A127" s="4"/>
      <c r="B127" s="9"/>
      <c r="C127" s="9"/>
      <c r="D127" s="4"/>
      <c r="E127" s="4"/>
      <c r="F127" s="4"/>
      <c r="G127" s="4"/>
      <c r="H127" s="4"/>
      <c r="I127" s="4"/>
      <c r="J127" s="4"/>
      <c r="K127" s="4"/>
      <c r="L127" s="38"/>
      <c r="M127" s="4"/>
      <c r="N127" s="4"/>
      <c r="O127" s="4"/>
      <c r="P127" s="4"/>
      <c r="Q127" s="4"/>
      <c r="R127" s="4"/>
      <c r="S127" s="4"/>
      <c r="T127" s="4"/>
      <c r="U127" s="4"/>
      <c r="V127" s="4"/>
      <c r="W127" s="4"/>
      <c r="X127" s="4"/>
      <c r="Y127" s="4"/>
      <c r="Z127" s="4"/>
      <c r="AA127" s="4"/>
      <c r="AB127" s="4"/>
    </row>
    <row r="128" spans="1:28" ht="13.5" customHeight="1">
      <c r="A128" s="4"/>
      <c r="B128" s="9"/>
      <c r="C128" s="9"/>
      <c r="D128" s="4"/>
      <c r="E128" s="4"/>
      <c r="F128" s="4"/>
      <c r="G128" s="4"/>
      <c r="H128" s="4"/>
      <c r="I128" s="4"/>
      <c r="J128" s="4"/>
      <c r="K128" s="4"/>
      <c r="L128" s="38"/>
      <c r="M128" s="4"/>
      <c r="N128" s="4"/>
      <c r="O128" s="4"/>
      <c r="P128" s="4"/>
      <c r="Q128" s="4"/>
      <c r="R128" s="4"/>
      <c r="S128" s="4"/>
      <c r="T128" s="4"/>
      <c r="U128" s="4"/>
      <c r="V128" s="4"/>
      <c r="W128" s="4"/>
      <c r="X128" s="4"/>
      <c r="Y128" s="4"/>
      <c r="Z128" s="4"/>
      <c r="AA128" s="4"/>
      <c r="AB128" s="4"/>
    </row>
    <row r="129" spans="1:28" ht="13.5" customHeight="1">
      <c r="A129" s="4"/>
      <c r="B129" s="9"/>
      <c r="C129" s="9"/>
      <c r="D129" s="4"/>
      <c r="E129" s="4"/>
      <c r="F129" s="4"/>
      <c r="G129" s="4"/>
      <c r="H129" s="4"/>
      <c r="I129" s="4"/>
      <c r="J129" s="4"/>
      <c r="K129" s="4"/>
      <c r="L129" s="38"/>
      <c r="M129" s="4"/>
      <c r="N129" s="4"/>
      <c r="O129" s="4"/>
      <c r="P129" s="4"/>
      <c r="Q129" s="4"/>
      <c r="R129" s="4"/>
      <c r="S129" s="4"/>
      <c r="T129" s="4"/>
      <c r="U129" s="4"/>
      <c r="V129" s="4"/>
      <c r="W129" s="4"/>
      <c r="X129" s="4"/>
      <c r="Y129" s="4"/>
      <c r="Z129" s="4"/>
      <c r="AA129" s="4"/>
      <c r="AB129" s="4"/>
    </row>
    <row r="130" spans="1:28" ht="13.5" customHeight="1">
      <c r="A130" s="4"/>
      <c r="B130" s="9"/>
      <c r="C130" s="9"/>
      <c r="D130" s="4"/>
      <c r="E130" s="4"/>
      <c r="F130" s="4"/>
      <c r="G130" s="4"/>
      <c r="H130" s="4"/>
      <c r="I130" s="4"/>
      <c r="J130" s="4"/>
      <c r="K130" s="4"/>
      <c r="L130" s="38"/>
      <c r="M130" s="4"/>
      <c r="N130" s="4"/>
      <c r="O130" s="4"/>
      <c r="P130" s="4"/>
      <c r="Q130" s="4"/>
      <c r="R130" s="4"/>
      <c r="S130" s="4"/>
      <c r="T130" s="4"/>
      <c r="U130" s="4"/>
      <c r="V130" s="4"/>
      <c r="W130" s="4"/>
      <c r="X130" s="4"/>
      <c r="Y130" s="4"/>
      <c r="Z130" s="4"/>
      <c r="AA130" s="4"/>
      <c r="AB130" s="4"/>
    </row>
    <row r="131" spans="1:28" ht="13.5" customHeight="1">
      <c r="A131" s="4"/>
      <c r="B131" s="9"/>
      <c r="C131" s="9"/>
      <c r="D131" s="4"/>
      <c r="E131" s="4"/>
      <c r="F131" s="4"/>
      <c r="G131" s="4"/>
      <c r="H131" s="4"/>
      <c r="I131" s="4"/>
      <c r="J131" s="4"/>
      <c r="K131" s="4"/>
      <c r="L131" s="38"/>
      <c r="M131" s="4"/>
      <c r="N131" s="4"/>
      <c r="O131" s="4"/>
      <c r="P131" s="4"/>
      <c r="Q131" s="4"/>
      <c r="R131" s="4"/>
      <c r="S131" s="4"/>
      <c r="T131" s="4"/>
      <c r="U131" s="4"/>
      <c r="V131" s="4"/>
      <c r="W131" s="4"/>
      <c r="X131" s="4"/>
      <c r="Y131" s="4"/>
      <c r="Z131" s="4"/>
      <c r="AA131" s="4"/>
      <c r="AB131" s="4"/>
    </row>
    <row r="132" spans="1:28" ht="13.5" customHeight="1">
      <c r="A132" s="4"/>
      <c r="B132" s="9"/>
      <c r="C132" s="9"/>
      <c r="D132" s="4"/>
      <c r="E132" s="4"/>
      <c r="F132" s="4"/>
      <c r="G132" s="4"/>
      <c r="H132" s="4"/>
      <c r="I132" s="4"/>
      <c r="J132" s="4"/>
      <c r="K132" s="4"/>
      <c r="L132" s="38"/>
      <c r="M132" s="4"/>
      <c r="N132" s="4"/>
      <c r="O132" s="4"/>
      <c r="P132" s="4"/>
      <c r="Q132" s="4"/>
      <c r="R132" s="4"/>
      <c r="S132" s="4"/>
      <c r="T132" s="4"/>
      <c r="U132" s="4"/>
      <c r="V132" s="4"/>
      <c r="W132" s="4"/>
      <c r="X132" s="4"/>
      <c r="Y132" s="4"/>
      <c r="Z132" s="4"/>
      <c r="AA132" s="4"/>
      <c r="AB132" s="4"/>
    </row>
    <row r="133" spans="1:28" ht="13.5" customHeight="1">
      <c r="A133" s="4"/>
      <c r="B133" s="9"/>
      <c r="C133" s="9"/>
      <c r="D133" s="4"/>
      <c r="E133" s="4"/>
      <c r="F133" s="4"/>
      <c r="G133" s="4"/>
      <c r="H133" s="4"/>
      <c r="I133" s="4"/>
      <c r="J133" s="4"/>
      <c r="K133" s="4"/>
      <c r="L133" s="38"/>
      <c r="M133" s="4"/>
      <c r="N133" s="4"/>
      <c r="O133" s="4"/>
      <c r="P133" s="4"/>
      <c r="Q133" s="4"/>
      <c r="R133" s="4"/>
      <c r="S133" s="4"/>
      <c r="T133" s="4"/>
      <c r="U133" s="4"/>
      <c r="V133" s="4"/>
      <c r="W133" s="4"/>
      <c r="X133" s="4"/>
      <c r="Y133" s="4"/>
      <c r="Z133" s="4"/>
      <c r="AA133" s="4"/>
      <c r="AB133" s="4"/>
    </row>
    <row r="134" spans="1:28" ht="13.5" customHeight="1">
      <c r="A134" s="4"/>
      <c r="B134" s="9"/>
      <c r="C134" s="9"/>
      <c r="D134" s="4"/>
      <c r="E134" s="4"/>
      <c r="F134" s="4"/>
      <c r="G134" s="4"/>
      <c r="H134" s="4"/>
      <c r="I134" s="4"/>
      <c r="J134" s="4"/>
      <c r="K134" s="4"/>
      <c r="L134" s="38"/>
      <c r="M134" s="4"/>
      <c r="N134" s="4"/>
      <c r="O134" s="4"/>
      <c r="P134" s="4"/>
      <c r="Q134" s="4"/>
      <c r="R134" s="4"/>
      <c r="S134" s="4"/>
      <c r="T134" s="4"/>
      <c r="U134" s="4"/>
      <c r="V134" s="4"/>
      <c r="W134" s="4"/>
      <c r="X134" s="4"/>
      <c r="Y134" s="4"/>
      <c r="Z134" s="4"/>
      <c r="AA134" s="4"/>
      <c r="AB134" s="4"/>
    </row>
    <row r="135" spans="1:28" ht="13.5" customHeight="1">
      <c r="A135" s="4"/>
      <c r="B135" s="9"/>
      <c r="C135" s="9"/>
      <c r="D135" s="4"/>
      <c r="E135" s="4"/>
      <c r="F135" s="4"/>
      <c r="G135" s="4"/>
      <c r="H135" s="4"/>
      <c r="I135" s="4"/>
      <c r="J135" s="4"/>
      <c r="K135" s="4"/>
      <c r="L135" s="38"/>
      <c r="M135" s="4"/>
      <c r="N135" s="4"/>
      <c r="O135" s="4"/>
      <c r="P135" s="4"/>
      <c r="Q135" s="4"/>
      <c r="R135" s="4"/>
      <c r="S135" s="4"/>
      <c r="T135" s="4"/>
      <c r="U135" s="4"/>
      <c r="V135" s="4"/>
      <c r="W135" s="4"/>
      <c r="X135" s="4"/>
      <c r="Y135" s="4"/>
      <c r="Z135" s="4"/>
      <c r="AA135" s="4"/>
      <c r="AB135" s="4"/>
    </row>
    <row r="136" spans="1:28" ht="13.5" customHeight="1">
      <c r="A136" s="4"/>
      <c r="B136" s="9"/>
      <c r="C136" s="9"/>
      <c r="D136" s="4"/>
      <c r="E136" s="4"/>
      <c r="F136" s="4"/>
      <c r="G136" s="4"/>
      <c r="H136" s="4"/>
      <c r="I136" s="4"/>
      <c r="J136" s="4"/>
      <c r="K136" s="4"/>
      <c r="L136" s="38"/>
      <c r="M136" s="4"/>
      <c r="N136" s="4"/>
      <c r="O136" s="4"/>
      <c r="P136" s="4"/>
      <c r="Q136" s="4"/>
      <c r="R136" s="4"/>
      <c r="S136" s="4"/>
      <c r="T136" s="4"/>
      <c r="U136" s="4"/>
      <c r="V136" s="4"/>
      <c r="W136" s="4"/>
      <c r="X136" s="4"/>
      <c r="Y136" s="4"/>
      <c r="Z136" s="4"/>
      <c r="AA136" s="4"/>
      <c r="AB136" s="4"/>
    </row>
    <row r="137" spans="1:28" ht="13.5" customHeight="1">
      <c r="A137" s="4"/>
      <c r="B137" s="9"/>
      <c r="C137" s="9"/>
      <c r="D137" s="4"/>
      <c r="E137" s="4"/>
      <c r="F137" s="4"/>
      <c r="G137" s="4"/>
      <c r="H137" s="4"/>
      <c r="I137" s="4"/>
      <c r="J137" s="4"/>
      <c r="K137" s="4"/>
      <c r="L137" s="38"/>
      <c r="M137" s="4"/>
      <c r="N137" s="4"/>
      <c r="O137" s="4"/>
      <c r="P137" s="4"/>
      <c r="Q137" s="4"/>
      <c r="R137" s="4"/>
      <c r="S137" s="4"/>
      <c r="T137" s="4"/>
      <c r="U137" s="4"/>
      <c r="V137" s="4"/>
      <c r="W137" s="4"/>
      <c r="X137" s="4"/>
      <c r="Y137" s="4"/>
      <c r="Z137" s="4"/>
      <c r="AA137" s="4"/>
      <c r="AB137" s="4"/>
    </row>
    <row r="138" spans="1:28" ht="13.5" customHeight="1">
      <c r="A138" s="4"/>
      <c r="B138" s="9"/>
      <c r="C138" s="9"/>
      <c r="D138" s="4"/>
      <c r="E138" s="4"/>
      <c r="F138" s="4"/>
      <c r="G138" s="4"/>
      <c r="H138" s="4"/>
      <c r="I138" s="4"/>
      <c r="J138" s="4"/>
      <c r="K138" s="4"/>
      <c r="L138" s="38"/>
      <c r="M138" s="4"/>
      <c r="N138" s="4"/>
      <c r="O138" s="4"/>
      <c r="P138" s="4"/>
      <c r="Q138" s="4"/>
      <c r="R138" s="4"/>
      <c r="S138" s="4"/>
      <c r="T138" s="4"/>
      <c r="U138" s="4"/>
      <c r="V138" s="4"/>
      <c r="W138" s="4"/>
      <c r="X138" s="4"/>
      <c r="Y138" s="4"/>
      <c r="Z138" s="4"/>
      <c r="AA138" s="4"/>
      <c r="AB138" s="4"/>
    </row>
    <row r="139" spans="1:28" ht="13.5" customHeight="1">
      <c r="A139" s="4"/>
      <c r="B139" s="9"/>
      <c r="C139" s="9"/>
      <c r="D139" s="4"/>
      <c r="E139" s="4"/>
      <c r="F139" s="4"/>
      <c r="G139" s="4"/>
      <c r="H139" s="4"/>
      <c r="I139" s="4"/>
      <c r="J139" s="4"/>
      <c r="K139" s="4"/>
      <c r="L139" s="38"/>
      <c r="M139" s="4"/>
      <c r="N139" s="4"/>
      <c r="O139" s="4"/>
      <c r="P139" s="4"/>
      <c r="Q139" s="4"/>
      <c r="R139" s="4"/>
      <c r="S139" s="4"/>
      <c r="T139" s="4"/>
      <c r="U139" s="4"/>
      <c r="V139" s="4"/>
      <c r="W139" s="4"/>
      <c r="X139" s="4"/>
      <c r="Y139" s="4"/>
      <c r="Z139" s="4"/>
      <c r="AA139" s="4"/>
      <c r="AB139" s="4"/>
    </row>
    <row r="140" spans="1:28" ht="13.5" customHeight="1">
      <c r="A140" s="4"/>
      <c r="B140" s="9"/>
      <c r="C140" s="9"/>
      <c r="D140" s="4"/>
      <c r="E140" s="4"/>
      <c r="F140" s="4"/>
      <c r="G140" s="4"/>
      <c r="H140" s="4"/>
      <c r="I140" s="4"/>
      <c r="J140" s="4"/>
      <c r="K140" s="4"/>
      <c r="L140" s="38"/>
      <c r="M140" s="4"/>
      <c r="N140" s="4"/>
      <c r="O140" s="4"/>
      <c r="P140" s="4"/>
      <c r="Q140" s="4"/>
      <c r="R140" s="4"/>
      <c r="S140" s="4"/>
      <c r="T140" s="4"/>
      <c r="U140" s="4"/>
      <c r="V140" s="4"/>
      <c r="W140" s="4"/>
      <c r="X140" s="4"/>
      <c r="Y140" s="4"/>
      <c r="Z140" s="4"/>
      <c r="AA140" s="4"/>
      <c r="AB140" s="4"/>
    </row>
    <row r="141" spans="1:28" ht="13.5" customHeight="1">
      <c r="A141" s="4"/>
      <c r="B141" s="9"/>
      <c r="C141" s="9"/>
      <c r="D141" s="4"/>
      <c r="E141" s="4"/>
      <c r="F141" s="4"/>
      <c r="G141" s="4"/>
      <c r="H141" s="4"/>
      <c r="I141" s="4"/>
      <c r="J141" s="4"/>
      <c r="K141" s="4"/>
      <c r="L141" s="38"/>
      <c r="M141" s="4"/>
      <c r="N141" s="4"/>
      <c r="O141" s="4"/>
      <c r="P141" s="4"/>
      <c r="Q141" s="4"/>
      <c r="R141" s="4"/>
      <c r="S141" s="4"/>
      <c r="T141" s="4"/>
      <c r="U141" s="4"/>
      <c r="V141" s="4"/>
      <c r="W141" s="4"/>
      <c r="X141" s="4"/>
      <c r="Y141" s="4"/>
      <c r="Z141" s="4"/>
      <c r="AA141" s="4"/>
      <c r="AB141" s="4"/>
    </row>
    <row r="142" spans="1:28" ht="13.5" customHeight="1">
      <c r="A142" s="4"/>
      <c r="B142" s="9"/>
      <c r="C142" s="9"/>
      <c r="D142" s="4"/>
      <c r="E142" s="4"/>
      <c r="F142" s="4"/>
      <c r="G142" s="4"/>
      <c r="H142" s="4"/>
      <c r="I142" s="4"/>
      <c r="J142" s="4"/>
      <c r="K142" s="4"/>
      <c r="L142" s="38"/>
      <c r="M142" s="4"/>
      <c r="N142" s="4"/>
      <c r="O142" s="4"/>
      <c r="P142" s="4"/>
      <c r="Q142" s="4"/>
      <c r="R142" s="4"/>
      <c r="S142" s="4"/>
      <c r="T142" s="4"/>
      <c r="U142" s="4"/>
      <c r="V142" s="4"/>
      <c r="W142" s="4"/>
      <c r="X142" s="4"/>
      <c r="Y142" s="4"/>
      <c r="Z142" s="4"/>
      <c r="AA142" s="4"/>
      <c r="AB142" s="4"/>
    </row>
    <row r="143" spans="1:28" ht="13.5" customHeight="1">
      <c r="A143" s="4"/>
      <c r="B143" s="9"/>
      <c r="C143" s="9"/>
      <c r="D143" s="4"/>
      <c r="E143" s="4"/>
      <c r="F143" s="4"/>
      <c r="G143" s="4"/>
      <c r="H143" s="4"/>
      <c r="I143" s="4"/>
      <c r="J143" s="4"/>
      <c r="K143" s="4"/>
      <c r="L143" s="38"/>
      <c r="M143" s="4"/>
      <c r="N143" s="4"/>
      <c r="O143" s="4"/>
      <c r="P143" s="4"/>
      <c r="Q143" s="4"/>
      <c r="R143" s="4"/>
      <c r="S143" s="4"/>
      <c r="T143" s="4"/>
      <c r="U143" s="4"/>
      <c r="V143" s="4"/>
      <c r="W143" s="4"/>
      <c r="X143" s="4"/>
      <c r="Y143" s="4"/>
      <c r="Z143" s="4"/>
      <c r="AA143" s="4"/>
      <c r="AB143" s="4"/>
    </row>
    <row r="144" spans="1:28" ht="13.5" customHeight="1">
      <c r="A144" s="4"/>
      <c r="B144" s="9"/>
      <c r="C144" s="9"/>
      <c r="D144" s="4"/>
      <c r="E144" s="4"/>
      <c r="F144" s="4"/>
      <c r="G144" s="4"/>
      <c r="H144" s="4"/>
      <c r="I144" s="4"/>
      <c r="J144" s="4"/>
      <c r="K144" s="4"/>
      <c r="L144" s="38"/>
      <c r="M144" s="4"/>
      <c r="N144" s="4"/>
      <c r="O144" s="4"/>
      <c r="P144" s="4"/>
      <c r="Q144" s="4"/>
      <c r="R144" s="4"/>
      <c r="S144" s="4"/>
      <c r="T144" s="4"/>
      <c r="U144" s="4"/>
      <c r="V144" s="4"/>
      <c r="W144" s="4"/>
      <c r="X144" s="4"/>
      <c r="Y144" s="4"/>
      <c r="Z144" s="4"/>
      <c r="AA144" s="4"/>
      <c r="AB144" s="4"/>
    </row>
    <row r="145" spans="1:28" ht="13.5" customHeight="1">
      <c r="A145" s="4"/>
      <c r="B145" s="9"/>
      <c r="C145" s="9"/>
      <c r="D145" s="4"/>
      <c r="E145" s="4"/>
      <c r="F145" s="4"/>
      <c r="G145" s="4"/>
      <c r="H145" s="4"/>
      <c r="I145" s="4"/>
      <c r="J145" s="4"/>
      <c r="K145" s="4"/>
      <c r="L145" s="38"/>
      <c r="M145" s="4"/>
      <c r="N145" s="4"/>
      <c r="O145" s="4"/>
      <c r="P145" s="4"/>
      <c r="Q145" s="4"/>
      <c r="R145" s="4"/>
      <c r="S145" s="4"/>
      <c r="T145" s="4"/>
      <c r="U145" s="4"/>
      <c r="V145" s="4"/>
      <c r="W145" s="4"/>
      <c r="X145" s="4"/>
      <c r="Y145" s="4"/>
      <c r="Z145" s="4"/>
      <c r="AA145" s="4"/>
      <c r="AB145" s="4"/>
    </row>
    <row r="146" spans="1:28" ht="13.5" customHeight="1">
      <c r="A146" s="4"/>
      <c r="B146" s="9"/>
      <c r="C146" s="9"/>
      <c r="D146" s="4"/>
      <c r="E146" s="4"/>
      <c r="F146" s="4"/>
      <c r="G146" s="4"/>
      <c r="H146" s="4"/>
      <c r="I146" s="4"/>
      <c r="J146" s="4"/>
      <c r="K146" s="4"/>
      <c r="L146" s="38"/>
      <c r="M146" s="4"/>
      <c r="N146" s="4"/>
      <c r="O146" s="4"/>
      <c r="P146" s="4"/>
      <c r="Q146" s="4"/>
      <c r="R146" s="4"/>
      <c r="S146" s="4"/>
      <c r="T146" s="4"/>
      <c r="U146" s="4"/>
      <c r="V146" s="4"/>
      <c r="W146" s="4"/>
      <c r="X146" s="4"/>
      <c r="Y146" s="4"/>
      <c r="Z146" s="4"/>
      <c r="AA146" s="4"/>
      <c r="AB146" s="4"/>
    </row>
    <row r="147" spans="1:28" ht="13.5" customHeight="1">
      <c r="A147" s="4"/>
      <c r="B147" s="9"/>
      <c r="C147" s="9"/>
      <c r="D147" s="4"/>
      <c r="E147" s="4"/>
      <c r="F147" s="4"/>
      <c r="G147" s="4"/>
      <c r="H147" s="4"/>
      <c r="I147" s="4"/>
      <c r="J147" s="4"/>
      <c r="K147" s="4"/>
      <c r="L147" s="38"/>
      <c r="M147" s="4"/>
      <c r="N147" s="4"/>
      <c r="O147" s="4"/>
      <c r="P147" s="4"/>
      <c r="Q147" s="4"/>
      <c r="R147" s="4"/>
      <c r="S147" s="4"/>
      <c r="T147" s="4"/>
      <c r="U147" s="4"/>
      <c r="V147" s="4"/>
      <c r="W147" s="4"/>
      <c r="X147" s="4"/>
      <c r="Y147" s="4"/>
      <c r="Z147" s="4"/>
      <c r="AA147" s="4"/>
      <c r="AB147" s="4"/>
    </row>
    <row r="148" spans="1:28" ht="13.5" customHeight="1">
      <c r="A148" s="4"/>
      <c r="B148" s="9"/>
      <c r="C148" s="9"/>
      <c r="D148" s="4"/>
      <c r="E148" s="4"/>
      <c r="F148" s="4"/>
      <c r="G148" s="4"/>
      <c r="H148" s="4"/>
      <c r="I148" s="4"/>
      <c r="J148" s="4"/>
      <c r="K148" s="4"/>
      <c r="L148" s="38"/>
      <c r="M148" s="4"/>
      <c r="N148" s="4"/>
      <c r="O148" s="4"/>
      <c r="P148" s="4"/>
      <c r="Q148" s="4"/>
      <c r="R148" s="4"/>
      <c r="S148" s="4"/>
      <c r="T148" s="4"/>
      <c r="U148" s="4"/>
      <c r="V148" s="4"/>
      <c r="W148" s="4"/>
      <c r="X148" s="4"/>
      <c r="Y148" s="4"/>
      <c r="Z148" s="4"/>
      <c r="AA148" s="4"/>
      <c r="AB148" s="4"/>
    </row>
    <row r="149" spans="1:28" ht="13.5" customHeight="1">
      <c r="A149" s="4"/>
      <c r="B149" s="9"/>
      <c r="C149" s="9"/>
      <c r="D149" s="4"/>
      <c r="E149" s="4"/>
      <c r="F149" s="4"/>
      <c r="G149" s="4"/>
      <c r="H149" s="4"/>
      <c r="I149" s="4"/>
      <c r="J149" s="4"/>
      <c r="K149" s="4"/>
      <c r="L149" s="38"/>
      <c r="M149" s="4"/>
      <c r="N149" s="4"/>
      <c r="O149" s="4"/>
      <c r="P149" s="4"/>
      <c r="Q149" s="4"/>
      <c r="R149" s="4"/>
      <c r="S149" s="4"/>
      <c r="T149" s="4"/>
      <c r="U149" s="4"/>
      <c r="V149" s="4"/>
      <c r="W149" s="4"/>
      <c r="X149" s="4"/>
      <c r="Y149" s="4"/>
      <c r="Z149" s="4"/>
      <c r="AA149" s="4"/>
      <c r="AB149" s="4"/>
    </row>
    <row r="150" spans="1:28" ht="13.5" customHeight="1">
      <c r="A150" s="4"/>
      <c r="B150" s="9"/>
      <c r="C150" s="9"/>
      <c r="D150" s="4"/>
      <c r="E150" s="4"/>
      <c r="F150" s="4"/>
      <c r="G150" s="4"/>
      <c r="H150" s="4"/>
      <c r="I150" s="4"/>
      <c r="J150" s="4"/>
      <c r="K150" s="4"/>
      <c r="L150" s="38"/>
      <c r="M150" s="4"/>
      <c r="N150" s="4"/>
      <c r="O150" s="4"/>
      <c r="P150" s="4"/>
      <c r="Q150" s="4"/>
      <c r="R150" s="4"/>
      <c r="S150" s="4"/>
      <c r="T150" s="4"/>
      <c r="U150" s="4"/>
      <c r="V150" s="4"/>
      <c r="W150" s="4"/>
      <c r="X150" s="4"/>
      <c r="Y150" s="4"/>
      <c r="Z150" s="4"/>
      <c r="AA150" s="4"/>
      <c r="AB150" s="4"/>
    </row>
    <row r="151" spans="1:28" ht="13.5" customHeight="1">
      <c r="A151" s="4"/>
      <c r="B151" s="9"/>
      <c r="C151" s="9"/>
      <c r="D151" s="4"/>
      <c r="E151" s="4"/>
      <c r="F151" s="4"/>
      <c r="G151" s="4"/>
      <c r="H151" s="4"/>
      <c r="I151" s="4"/>
      <c r="J151" s="4"/>
      <c r="K151" s="4"/>
      <c r="L151" s="38"/>
      <c r="M151" s="4"/>
      <c r="N151" s="4"/>
      <c r="O151" s="4"/>
      <c r="P151" s="4"/>
      <c r="Q151" s="4"/>
      <c r="R151" s="4"/>
      <c r="S151" s="4"/>
      <c r="T151" s="4"/>
      <c r="U151" s="4"/>
      <c r="V151" s="4"/>
      <c r="W151" s="4"/>
      <c r="X151" s="4"/>
      <c r="Y151" s="4"/>
      <c r="Z151" s="4"/>
      <c r="AA151" s="4"/>
      <c r="AB151" s="4"/>
    </row>
    <row r="152" spans="1:28" ht="13.5" customHeight="1">
      <c r="A152" s="4"/>
      <c r="B152" s="9"/>
      <c r="C152" s="9"/>
      <c r="D152" s="4"/>
      <c r="E152" s="4"/>
      <c r="F152" s="4"/>
      <c r="G152" s="4"/>
      <c r="H152" s="4"/>
      <c r="I152" s="4"/>
      <c r="J152" s="4"/>
      <c r="K152" s="4"/>
      <c r="L152" s="38"/>
      <c r="M152" s="4"/>
      <c r="N152" s="4"/>
      <c r="O152" s="4"/>
      <c r="P152" s="4"/>
      <c r="Q152" s="4"/>
      <c r="R152" s="4"/>
      <c r="S152" s="4"/>
      <c r="T152" s="4"/>
      <c r="U152" s="4"/>
      <c r="V152" s="4"/>
      <c r="W152" s="4"/>
      <c r="X152" s="4"/>
      <c r="Y152" s="4"/>
      <c r="Z152" s="4"/>
      <c r="AA152" s="4"/>
      <c r="AB152" s="4"/>
    </row>
    <row r="153" spans="1:28" ht="13.5" customHeight="1">
      <c r="A153" s="4"/>
      <c r="B153" s="9"/>
      <c r="C153" s="9"/>
      <c r="D153" s="4"/>
      <c r="E153" s="4"/>
      <c r="F153" s="4"/>
      <c r="G153" s="4"/>
      <c r="H153" s="4"/>
      <c r="I153" s="4"/>
      <c r="J153" s="4"/>
      <c r="K153" s="4"/>
      <c r="L153" s="38"/>
      <c r="M153" s="4"/>
      <c r="N153" s="4"/>
      <c r="O153" s="4"/>
      <c r="P153" s="4"/>
      <c r="Q153" s="4"/>
      <c r="R153" s="4"/>
      <c r="S153" s="4"/>
      <c r="T153" s="4"/>
      <c r="U153" s="4"/>
      <c r="V153" s="4"/>
      <c r="W153" s="4"/>
      <c r="X153" s="4"/>
      <c r="Y153" s="4"/>
      <c r="Z153" s="4"/>
      <c r="AA153" s="4"/>
      <c r="AB153" s="4"/>
    </row>
    <row r="154" spans="1:28" ht="13.5" customHeight="1">
      <c r="A154" s="4"/>
      <c r="B154" s="9"/>
      <c r="C154" s="9"/>
      <c r="D154" s="4"/>
      <c r="E154" s="4"/>
      <c r="F154" s="4"/>
      <c r="G154" s="4"/>
      <c r="H154" s="4"/>
      <c r="I154" s="4"/>
      <c r="J154" s="4"/>
      <c r="K154" s="4"/>
      <c r="L154" s="38"/>
      <c r="M154" s="4"/>
      <c r="N154" s="4"/>
      <c r="O154" s="4"/>
      <c r="P154" s="4"/>
      <c r="Q154" s="4"/>
      <c r="R154" s="4"/>
      <c r="S154" s="4"/>
      <c r="T154" s="4"/>
      <c r="U154" s="4"/>
      <c r="V154" s="4"/>
      <c r="W154" s="4"/>
      <c r="X154" s="4"/>
      <c r="Y154" s="4"/>
      <c r="Z154" s="4"/>
      <c r="AA154" s="4"/>
      <c r="AB154" s="4"/>
    </row>
    <row r="155" spans="1:28" ht="13.5" customHeight="1">
      <c r="A155" s="4"/>
      <c r="B155" s="9"/>
      <c r="C155" s="9"/>
      <c r="D155" s="4"/>
      <c r="E155" s="4"/>
      <c r="F155" s="4"/>
      <c r="G155" s="4"/>
      <c r="H155" s="4"/>
      <c r="I155" s="4"/>
      <c r="J155" s="4"/>
      <c r="K155" s="4"/>
      <c r="L155" s="38"/>
      <c r="M155" s="4"/>
      <c r="N155" s="4"/>
      <c r="O155" s="4"/>
      <c r="P155" s="4"/>
      <c r="Q155" s="4"/>
      <c r="R155" s="4"/>
      <c r="S155" s="4"/>
      <c r="T155" s="4"/>
      <c r="U155" s="4"/>
      <c r="V155" s="4"/>
      <c r="W155" s="4"/>
      <c r="X155" s="4"/>
      <c r="Y155" s="4"/>
      <c r="Z155" s="4"/>
      <c r="AA155" s="4"/>
      <c r="AB155" s="4"/>
    </row>
    <row r="156" spans="1:28" ht="13.5" customHeight="1">
      <c r="A156" s="4"/>
      <c r="B156" s="9"/>
      <c r="C156" s="9"/>
      <c r="D156" s="4"/>
      <c r="E156" s="4"/>
      <c r="F156" s="4"/>
      <c r="G156" s="4"/>
      <c r="H156" s="4"/>
      <c r="I156" s="4"/>
      <c r="J156" s="4"/>
      <c r="K156" s="4"/>
      <c r="L156" s="38"/>
      <c r="M156" s="4"/>
      <c r="N156" s="4"/>
      <c r="O156" s="4"/>
      <c r="P156" s="4"/>
      <c r="Q156" s="4"/>
      <c r="R156" s="4"/>
      <c r="S156" s="4"/>
      <c r="T156" s="4"/>
      <c r="U156" s="4"/>
      <c r="V156" s="4"/>
      <c r="W156" s="4"/>
      <c r="X156" s="4"/>
      <c r="Y156" s="4"/>
      <c r="Z156" s="4"/>
      <c r="AA156" s="4"/>
      <c r="AB156" s="4"/>
    </row>
    <row r="157" spans="1:28" ht="13.5" customHeight="1">
      <c r="A157" s="4"/>
      <c r="B157" s="9"/>
      <c r="C157" s="9"/>
      <c r="D157" s="4"/>
      <c r="E157" s="4"/>
      <c r="F157" s="4"/>
      <c r="G157" s="4"/>
      <c r="H157" s="4"/>
      <c r="I157" s="4"/>
      <c r="J157" s="4"/>
      <c r="K157" s="4"/>
      <c r="L157" s="38"/>
      <c r="M157" s="4"/>
      <c r="N157" s="4"/>
      <c r="O157" s="4"/>
      <c r="P157" s="4"/>
      <c r="Q157" s="4"/>
      <c r="R157" s="4"/>
      <c r="S157" s="4"/>
      <c r="T157" s="4"/>
      <c r="U157" s="4"/>
      <c r="V157" s="4"/>
      <c r="W157" s="4"/>
      <c r="X157" s="4"/>
      <c r="Y157" s="4"/>
      <c r="Z157" s="4"/>
      <c r="AA157" s="4"/>
      <c r="AB157" s="4"/>
    </row>
    <row r="158" spans="1:28" ht="13.5" customHeight="1">
      <c r="A158" s="4"/>
      <c r="B158" s="9"/>
      <c r="C158" s="9"/>
      <c r="D158" s="4"/>
      <c r="E158" s="4"/>
      <c r="F158" s="4"/>
      <c r="G158" s="4"/>
      <c r="H158" s="4"/>
      <c r="I158" s="4"/>
      <c r="J158" s="4"/>
      <c r="K158" s="4"/>
      <c r="L158" s="38"/>
      <c r="M158" s="4"/>
      <c r="N158" s="4"/>
      <c r="O158" s="4"/>
      <c r="P158" s="4"/>
      <c r="Q158" s="4"/>
      <c r="R158" s="4"/>
      <c r="S158" s="4"/>
      <c r="T158" s="4"/>
      <c r="U158" s="4"/>
      <c r="V158" s="4"/>
      <c r="W158" s="4"/>
      <c r="X158" s="4"/>
      <c r="Y158" s="4"/>
      <c r="Z158" s="4"/>
      <c r="AA158" s="4"/>
      <c r="AB158" s="4"/>
    </row>
    <row r="159" spans="1:28" ht="13.5" customHeight="1">
      <c r="A159" s="4"/>
      <c r="B159" s="9"/>
      <c r="C159" s="9"/>
      <c r="D159" s="4"/>
      <c r="E159" s="4"/>
      <c r="F159" s="4"/>
      <c r="G159" s="4"/>
      <c r="H159" s="4"/>
      <c r="I159" s="4"/>
      <c r="J159" s="4"/>
      <c r="K159" s="4"/>
      <c r="L159" s="38"/>
      <c r="M159" s="4"/>
      <c r="N159" s="4"/>
      <c r="O159" s="4"/>
      <c r="P159" s="4"/>
      <c r="Q159" s="4"/>
      <c r="R159" s="4"/>
      <c r="S159" s="4"/>
      <c r="T159" s="4"/>
      <c r="U159" s="4"/>
      <c r="V159" s="4"/>
      <c r="W159" s="4"/>
      <c r="X159" s="4"/>
      <c r="Y159" s="4"/>
      <c r="Z159" s="4"/>
      <c r="AA159" s="4"/>
      <c r="AB159" s="4"/>
    </row>
    <row r="160" spans="1:28" ht="13.5" customHeight="1">
      <c r="A160" s="4"/>
      <c r="B160" s="9"/>
      <c r="C160" s="9"/>
      <c r="D160" s="4"/>
      <c r="E160" s="4"/>
      <c r="F160" s="4"/>
      <c r="G160" s="4"/>
      <c r="H160" s="4"/>
      <c r="I160" s="4"/>
      <c r="J160" s="4"/>
      <c r="K160" s="4"/>
      <c r="L160" s="38"/>
      <c r="M160" s="4"/>
      <c r="N160" s="4"/>
      <c r="O160" s="4"/>
      <c r="P160" s="4"/>
      <c r="Q160" s="4"/>
      <c r="R160" s="4"/>
      <c r="S160" s="4"/>
      <c r="T160" s="4"/>
      <c r="U160" s="4"/>
      <c r="V160" s="4"/>
      <c r="W160" s="4"/>
      <c r="X160" s="4"/>
      <c r="Y160" s="4"/>
      <c r="Z160" s="4"/>
      <c r="AA160" s="4"/>
      <c r="AB160" s="4"/>
    </row>
    <row r="161" spans="1:28" ht="13.5" customHeight="1">
      <c r="A161" s="4"/>
      <c r="B161" s="9"/>
      <c r="C161" s="9"/>
      <c r="D161" s="4"/>
      <c r="E161" s="4"/>
      <c r="F161" s="4"/>
      <c r="G161" s="4"/>
      <c r="H161" s="4"/>
      <c r="I161" s="4"/>
      <c r="J161" s="4"/>
      <c r="K161" s="4"/>
      <c r="L161" s="38"/>
      <c r="M161" s="4"/>
      <c r="N161" s="4"/>
      <c r="O161" s="4"/>
      <c r="P161" s="4"/>
      <c r="Q161" s="4"/>
      <c r="R161" s="4"/>
      <c r="S161" s="4"/>
      <c r="T161" s="4"/>
      <c r="U161" s="4"/>
      <c r="V161" s="4"/>
      <c r="W161" s="4"/>
      <c r="X161" s="4"/>
      <c r="Y161" s="4"/>
      <c r="Z161" s="4"/>
      <c r="AA161" s="4"/>
      <c r="AB161" s="4"/>
    </row>
    <row r="162" spans="1:28" ht="13.5" customHeight="1">
      <c r="A162" s="4"/>
      <c r="B162" s="9"/>
      <c r="C162" s="9"/>
      <c r="D162" s="4"/>
      <c r="E162" s="4"/>
      <c r="F162" s="4"/>
      <c r="G162" s="4"/>
      <c r="H162" s="4"/>
      <c r="I162" s="4"/>
      <c r="J162" s="4"/>
      <c r="K162" s="4"/>
      <c r="L162" s="38"/>
      <c r="M162" s="4"/>
      <c r="N162" s="4"/>
      <c r="O162" s="4"/>
      <c r="P162" s="4"/>
      <c r="Q162" s="4"/>
      <c r="R162" s="4"/>
      <c r="S162" s="4"/>
      <c r="T162" s="4"/>
      <c r="U162" s="4"/>
      <c r="V162" s="4"/>
      <c r="W162" s="4"/>
      <c r="X162" s="4"/>
      <c r="Y162" s="4"/>
      <c r="Z162" s="4"/>
      <c r="AA162" s="4"/>
      <c r="AB162" s="4"/>
    </row>
    <row r="163" spans="1:28" ht="13.5" customHeight="1">
      <c r="A163" s="4"/>
      <c r="B163" s="9"/>
      <c r="C163" s="9"/>
      <c r="D163" s="4"/>
      <c r="E163" s="4"/>
      <c r="F163" s="4"/>
      <c r="G163" s="4"/>
      <c r="H163" s="4"/>
      <c r="I163" s="4"/>
      <c r="J163" s="4"/>
      <c r="K163" s="4"/>
      <c r="L163" s="38"/>
      <c r="M163" s="4"/>
      <c r="N163" s="4"/>
      <c r="O163" s="4"/>
      <c r="P163" s="4"/>
      <c r="Q163" s="4"/>
      <c r="R163" s="4"/>
      <c r="S163" s="4"/>
      <c r="T163" s="4"/>
      <c r="U163" s="4"/>
      <c r="V163" s="4"/>
      <c r="W163" s="4"/>
      <c r="X163" s="4"/>
      <c r="Y163" s="4"/>
      <c r="Z163" s="4"/>
      <c r="AA163" s="4"/>
      <c r="AB163" s="4"/>
    </row>
    <row r="164" spans="1:28" ht="13.5" customHeight="1">
      <c r="A164" s="4"/>
      <c r="B164" s="9"/>
      <c r="C164" s="9"/>
      <c r="D164" s="4"/>
      <c r="E164" s="4"/>
      <c r="F164" s="4"/>
      <c r="G164" s="4"/>
      <c r="H164" s="4"/>
      <c r="I164" s="4"/>
      <c r="J164" s="4"/>
      <c r="K164" s="4"/>
      <c r="L164" s="38"/>
      <c r="M164" s="4"/>
      <c r="N164" s="4"/>
      <c r="O164" s="4"/>
      <c r="P164" s="4"/>
      <c r="Q164" s="4"/>
      <c r="R164" s="4"/>
      <c r="S164" s="4"/>
      <c r="T164" s="4"/>
      <c r="U164" s="4"/>
      <c r="V164" s="4"/>
      <c r="W164" s="4"/>
      <c r="X164" s="4"/>
      <c r="Y164" s="4"/>
      <c r="Z164" s="4"/>
      <c r="AA164" s="4"/>
      <c r="AB164" s="4"/>
    </row>
    <row r="165" spans="1:28" ht="13.5" customHeight="1">
      <c r="A165" s="4"/>
      <c r="B165" s="9"/>
      <c r="C165" s="9"/>
      <c r="D165" s="4"/>
      <c r="E165" s="4"/>
      <c r="F165" s="4"/>
      <c r="G165" s="4"/>
      <c r="H165" s="4"/>
      <c r="I165" s="4"/>
      <c r="J165" s="4"/>
      <c r="K165" s="4"/>
      <c r="L165" s="38"/>
      <c r="M165" s="4"/>
      <c r="N165" s="4"/>
      <c r="O165" s="4"/>
      <c r="P165" s="4"/>
      <c r="Q165" s="4"/>
      <c r="R165" s="4"/>
      <c r="S165" s="4"/>
      <c r="T165" s="4"/>
      <c r="U165" s="4"/>
      <c r="V165" s="4"/>
      <c r="W165" s="4"/>
      <c r="X165" s="4"/>
      <c r="Y165" s="4"/>
      <c r="Z165" s="4"/>
      <c r="AA165" s="4"/>
      <c r="AB165" s="4"/>
    </row>
    <row r="166" spans="1:28" ht="13.5" customHeight="1">
      <c r="A166" s="4"/>
      <c r="B166" s="9"/>
      <c r="C166" s="9"/>
      <c r="D166" s="4"/>
      <c r="E166" s="4"/>
      <c r="F166" s="4"/>
      <c r="G166" s="4"/>
      <c r="H166" s="4"/>
      <c r="I166" s="4"/>
      <c r="J166" s="4"/>
      <c r="K166" s="4"/>
      <c r="L166" s="38"/>
      <c r="M166" s="4"/>
      <c r="N166" s="4"/>
      <c r="O166" s="4"/>
      <c r="P166" s="4"/>
      <c r="Q166" s="4"/>
      <c r="R166" s="4"/>
      <c r="S166" s="4"/>
      <c r="T166" s="4"/>
      <c r="U166" s="4"/>
      <c r="V166" s="4"/>
      <c r="W166" s="4"/>
      <c r="X166" s="4"/>
      <c r="Y166" s="4"/>
      <c r="Z166" s="4"/>
      <c r="AA166" s="4"/>
      <c r="AB166" s="4"/>
    </row>
    <row r="167" spans="1:28" ht="13.5" customHeight="1">
      <c r="A167" s="4"/>
      <c r="B167" s="9"/>
      <c r="C167" s="9"/>
      <c r="D167" s="4"/>
      <c r="E167" s="4"/>
      <c r="F167" s="4"/>
      <c r="G167" s="4"/>
      <c r="H167" s="4"/>
      <c r="I167" s="4"/>
      <c r="J167" s="4"/>
      <c r="K167" s="4"/>
      <c r="L167" s="38"/>
      <c r="M167" s="4"/>
      <c r="N167" s="4"/>
      <c r="O167" s="4"/>
      <c r="P167" s="4"/>
      <c r="Q167" s="4"/>
      <c r="R167" s="4"/>
      <c r="S167" s="4"/>
      <c r="T167" s="4"/>
      <c r="U167" s="4"/>
      <c r="V167" s="4"/>
      <c r="W167" s="4"/>
      <c r="X167" s="4"/>
      <c r="Y167" s="4"/>
      <c r="Z167" s="4"/>
      <c r="AA167" s="4"/>
      <c r="AB167" s="4"/>
    </row>
    <row r="168" spans="1:28" ht="13.5" customHeight="1">
      <c r="A168" s="4"/>
      <c r="B168" s="9"/>
      <c r="C168" s="9"/>
      <c r="D168" s="4"/>
      <c r="E168" s="4"/>
      <c r="F168" s="4"/>
      <c r="G168" s="4"/>
      <c r="H168" s="4"/>
      <c r="I168" s="4"/>
      <c r="J168" s="4"/>
      <c r="K168" s="4"/>
      <c r="L168" s="38"/>
      <c r="M168" s="4"/>
      <c r="N168" s="4"/>
      <c r="O168" s="4"/>
      <c r="P168" s="4"/>
      <c r="Q168" s="4"/>
      <c r="R168" s="4"/>
      <c r="S168" s="4"/>
      <c r="T168" s="4"/>
      <c r="U168" s="4"/>
      <c r="V168" s="4"/>
      <c r="W168" s="4"/>
      <c r="X168" s="4"/>
      <c r="Y168" s="4"/>
      <c r="Z168" s="4"/>
      <c r="AA168" s="4"/>
      <c r="AB168" s="4"/>
    </row>
    <row r="169" spans="1:28" ht="13.5" customHeight="1">
      <c r="A169" s="4"/>
      <c r="B169" s="9"/>
      <c r="C169" s="9"/>
      <c r="D169" s="4"/>
      <c r="E169" s="4"/>
      <c r="F169" s="4"/>
      <c r="G169" s="4"/>
      <c r="H169" s="4"/>
      <c r="I169" s="4"/>
      <c r="J169" s="4"/>
      <c r="K169" s="4"/>
      <c r="L169" s="38"/>
      <c r="M169" s="4"/>
      <c r="N169" s="4"/>
      <c r="O169" s="4"/>
      <c r="P169" s="4"/>
      <c r="Q169" s="4"/>
      <c r="R169" s="4"/>
      <c r="S169" s="4"/>
      <c r="T169" s="4"/>
      <c r="U169" s="4"/>
      <c r="V169" s="4"/>
      <c r="W169" s="4"/>
      <c r="X169" s="4"/>
      <c r="Y169" s="4"/>
      <c r="Z169" s="4"/>
      <c r="AA169" s="4"/>
      <c r="AB169" s="4"/>
    </row>
    <row r="170" spans="1:28" ht="13.5" customHeight="1">
      <c r="A170" s="4"/>
      <c r="B170" s="9"/>
      <c r="C170" s="9"/>
      <c r="D170" s="4"/>
      <c r="E170" s="4"/>
      <c r="F170" s="4"/>
      <c r="G170" s="4"/>
      <c r="H170" s="4"/>
      <c r="I170" s="4"/>
      <c r="J170" s="4"/>
      <c r="K170" s="4"/>
      <c r="L170" s="38"/>
      <c r="M170" s="4"/>
      <c r="N170" s="4"/>
      <c r="O170" s="4"/>
      <c r="P170" s="4"/>
      <c r="Q170" s="4"/>
      <c r="R170" s="4"/>
      <c r="S170" s="4"/>
      <c r="T170" s="4"/>
      <c r="U170" s="4"/>
      <c r="V170" s="4"/>
      <c r="W170" s="4"/>
      <c r="X170" s="4"/>
      <c r="Y170" s="4"/>
      <c r="Z170" s="4"/>
      <c r="AA170" s="4"/>
      <c r="AB170" s="4"/>
    </row>
    <row r="171" spans="1:28" ht="13.5" customHeight="1">
      <c r="A171" s="4"/>
      <c r="B171" s="9"/>
      <c r="C171" s="9"/>
      <c r="D171" s="4"/>
      <c r="E171" s="4"/>
      <c r="F171" s="4"/>
      <c r="G171" s="4"/>
      <c r="H171" s="4"/>
      <c r="I171" s="4"/>
      <c r="J171" s="4"/>
      <c r="K171" s="4"/>
      <c r="L171" s="38"/>
      <c r="M171" s="4"/>
      <c r="N171" s="4"/>
      <c r="O171" s="4"/>
      <c r="P171" s="4"/>
      <c r="Q171" s="4"/>
      <c r="R171" s="4"/>
      <c r="S171" s="4"/>
      <c r="T171" s="4"/>
      <c r="U171" s="4"/>
      <c r="V171" s="4"/>
      <c r="W171" s="4"/>
      <c r="X171" s="4"/>
      <c r="Y171" s="4"/>
      <c r="Z171" s="4"/>
      <c r="AA171" s="4"/>
      <c r="AB171" s="4"/>
    </row>
    <row r="172" spans="1:28" ht="13.5" customHeight="1">
      <c r="A172" s="4"/>
      <c r="B172" s="9"/>
      <c r="C172" s="9"/>
      <c r="D172" s="4"/>
      <c r="E172" s="4"/>
      <c r="F172" s="4"/>
      <c r="G172" s="4"/>
      <c r="H172" s="4"/>
      <c r="I172" s="4"/>
      <c r="J172" s="4"/>
      <c r="K172" s="4"/>
      <c r="L172" s="38"/>
      <c r="M172" s="4"/>
      <c r="N172" s="4"/>
      <c r="O172" s="4"/>
      <c r="P172" s="4"/>
      <c r="Q172" s="4"/>
      <c r="R172" s="4"/>
      <c r="S172" s="4"/>
      <c r="T172" s="4"/>
      <c r="U172" s="4"/>
      <c r="V172" s="4"/>
      <c r="W172" s="4"/>
      <c r="X172" s="4"/>
      <c r="Y172" s="4"/>
      <c r="Z172" s="4"/>
      <c r="AA172" s="4"/>
      <c r="AB172" s="4"/>
    </row>
    <row r="173" spans="1:28" ht="13.5" customHeight="1">
      <c r="A173" s="4"/>
      <c r="B173" s="9"/>
      <c r="C173" s="9"/>
      <c r="D173" s="4"/>
      <c r="E173" s="4"/>
      <c r="F173" s="4"/>
      <c r="G173" s="4"/>
      <c r="H173" s="4"/>
      <c r="I173" s="4"/>
      <c r="J173" s="4"/>
      <c r="K173" s="4"/>
      <c r="L173" s="38"/>
      <c r="M173" s="4"/>
      <c r="N173" s="4"/>
      <c r="O173" s="4"/>
      <c r="P173" s="4"/>
      <c r="Q173" s="4"/>
      <c r="R173" s="4"/>
      <c r="S173" s="4"/>
      <c r="T173" s="4"/>
      <c r="U173" s="4"/>
      <c r="V173" s="4"/>
      <c r="W173" s="4"/>
      <c r="X173" s="4"/>
      <c r="Y173" s="4"/>
      <c r="Z173" s="4"/>
      <c r="AA173" s="4"/>
      <c r="AB173" s="4"/>
    </row>
    <row r="174" spans="1:28" ht="13.5" customHeight="1">
      <c r="A174" s="4"/>
      <c r="B174" s="9"/>
      <c r="C174" s="9"/>
      <c r="D174" s="4"/>
      <c r="E174" s="4"/>
      <c r="F174" s="4"/>
      <c r="G174" s="4"/>
      <c r="H174" s="4"/>
      <c r="I174" s="4"/>
      <c r="J174" s="4"/>
      <c r="K174" s="4"/>
      <c r="L174" s="38"/>
      <c r="M174" s="4"/>
      <c r="N174" s="4"/>
      <c r="O174" s="4"/>
      <c r="P174" s="4"/>
      <c r="Q174" s="4"/>
      <c r="R174" s="4"/>
      <c r="S174" s="4"/>
      <c r="T174" s="4"/>
      <c r="U174" s="4"/>
      <c r="V174" s="4"/>
      <c r="W174" s="4"/>
      <c r="X174" s="4"/>
      <c r="Y174" s="4"/>
      <c r="Z174" s="4"/>
      <c r="AA174" s="4"/>
      <c r="AB174" s="4"/>
    </row>
    <row r="175" spans="1:28" ht="13.5" customHeight="1">
      <c r="A175" s="4"/>
      <c r="B175" s="9"/>
      <c r="C175" s="9"/>
      <c r="D175" s="4"/>
      <c r="E175" s="4"/>
      <c r="F175" s="4"/>
      <c r="G175" s="4"/>
      <c r="H175" s="4"/>
      <c r="I175" s="4"/>
      <c r="J175" s="4"/>
      <c r="K175" s="4"/>
      <c r="L175" s="38"/>
      <c r="M175" s="4"/>
      <c r="N175" s="4"/>
      <c r="O175" s="4"/>
      <c r="P175" s="4"/>
      <c r="Q175" s="4"/>
      <c r="R175" s="4"/>
      <c r="S175" s="4"/>
      <c r="T175" s="4"/>
      <c r="U175" s="4"/>
      <c r="V175" s="4"/>
      <c r="W175" s="4"/>
      <c r="X175" s="4"/>
      <c r="Y175" s="4"/>
      <c r="Z175" s="4"/>
      <c r="AA175" s="4"/>
      <c r="AB175" s="4"/>
    </row>
    <row r="176" spans="1:28" ht="13.5" customHeight="1">
      <c r="A176" s="4"/>
      <c r="B176" s="9"/>
      <c r="C176" s="9"/>
      <c r="D176" s="4"/>
      <c r="E176" s="4"/>
      <c r="F176" s="4"/>
      <c r="G176" s="4"/>
      <c r="H176" s="4"/>
      <c r="I176" s="4"/>
      <c r="J176" s="4"/>
      <c r="K176" s="4"/>
      <c r="L176" s="38"/>
      <c r="M176" s="4"/>
      <c r="N176" s="4"/>
      <c r="O176" s="4"/>
      <c r="P176" s="4"/>
      <c r="Q176" s="4"/>
      <c r="R176" s="4"/>
      <c r="S176" s="4"/>
      <c r="T176" s="4"/>
      <c r="U176" s="4"/>
      <c r="V176" s="4"/>
      <c r="W176" s="4"/>
      <c r="X176" s="4"/>
      <c r="Y176" s="4"/>
      <c r="Z176" s="4"/>
      <c r="AA176" s="4"/>
      <c r="AB176" s="4"/>
    </row>
    <row r="177" spans="1:28" ht="13.5" customHeight="1">
      <c r="A177" s="4"/>
      <c r="B177" s="9"/>
      <c r="C177" s="9"/>
      <c r="D177" s="4"/>
      <c r="E177" s="4"/>
      <c r="F177" s="4"/>
      <c r="G177" s="4"/>
      <c r="H177" s="4"/>
      <c r="I177" s="4"/>
      <c r="J177" s="4"/>
      <c r="K177" s="4"/>
      <c r="L177" s="38"/>
      <c r="M177" s="4"/>
      <c r="N177" s="4"/>
      <c r="O177" s="4"/>
      <c r="P177" s="4"/>
      <c r="Q177" s="4"/>
      <c r="R177" s="4"/>
      <c r="S177" s="4"/>
      <c r="T177" s="4"/>
      <c r="U177" s="4"/>
      <c r="V177" s="4"/>
      <c r="W177" s="4"/>
      <c r="X177" s="4"/>
      <c r="Y177" s="4"/>
      <c r="Z177" s="4"/>
      <c r="AA177" s="4"/>
      <c r="AB177" s="4"/>
    </row>
    <row r="178" spans="1:28" ht="13.5" customHeight="1">
      <c r="A178" s="4"/>
      <c r="B178" s="9"/>
      <c r="C178" s="9"/>
      <c r="D178" s="4"/>
      <c r="E178" s="4"/>
      <c r="F178" s="4"/>
      <c r="G178" s="4"/>
      <c r="H178" s="4"/>
      <c r="I178" s="4"/>
      <c r="J178" s="4"/>
      <c r="K178" s="4"/>
      <c r="L178" s="38"/>
      <c r="M178" s="4"/>
      <c r="N178" s="4"/>
      <c r="O178" s="4"/>
      <c r="P178" s="4"/>
      <c r="Q178" s="4"/>
      <c r="R178" s="4"/>
      <c r="S178" s="4"/>
      <c r="T178" s="4"/>
      <c r="U178" s="4"/>
      <c r="V178" s="4"/>
      <c r="W178" s="4"/>
      <c r="X178" s="4"/>
      <c r="Y178" s="4"/>
      <c r="Z178" s="4"/>
      <c r="AA178" s="4"/>
      <c r="AB178" s="4"/>
    </row>
    <row r="179" spans="1:28" ht="13.5" customHeight="1">
      <c r="A179" s="4"/>
      <c r="B179" s="9"/>
      <c r="C179" s="9"/>
      <c r="D179" s="4"/>
      <c r="E179" s="4"/>
      <c r="F179" s="4"/>
      <c r="G179" s="4"/>
      <c r="H179" s="4"/>
      <c r="I179" s="4"/>
      <c r="J179" s="4"/>
      <c r="K179" s="4"/>
      <c r="L179" s="38"/>
      <c r="M179" s="4"/>
      <c r="N179" s="4"/>
      <c r="O179" s="4"/>
      <c r="P179" s="4"/>
      <c r="Q179" s="4"/>
      <c r="R179" s="4"/>
      <c r="S179" s="4"/>
      <c r="T179" s="4"/>
      <c r="U179" s="4"/>
      <c r="V179" s="4"/>
      <c r="W179" s="4"/>
      <c r="X179" s="4"/>
      <c r="Y179" s="4"/>
      <c r="Z179" s="4"/>
      <c r="AA179" s="4"/>
      <c r="AB179" s="4"/>
    </row>
    <row r="180" spans="1:28" ht="13.5" customHeight="1">
      <c r="A180" s="4"/>
      <c r="B180" s="9"/>
      <c r="C180" s="9"/>
      <c r="D180" s="4"/>
      <c r="E180" s="4"/>
      <c r="F180" s="4"/>
      <c r="G180" s="4"/>
      <c r="H180" s="4"/>
      <c r="I180" s="4"/>
      <c r="J180" s="4"/>
      <c r="K180" s="4"/>
      <c r="L180" s="38"/>
      <c r="M180" s="4"/>
      <c r="N180" s="4"/>
      <c r="O180" s="4"/>
      <c r="P180" s="4"/>
      <c r="Q180" s="4"/>
      <c r="R180" s="4"/>
      <c r="S180" s="4"/>
      <c r="T180" s="4"/>
      <c r="U180" s="4"/>
      <c r="V180" s="4"/>
      <c r="W180" s="4"/>
      <c r="X180" s="4"/>
      <c r="Y180" s="4"/>
      <c r="Z180" s="4"/>
      <c r="AA180" s="4"/>
      <c r="AB180" s="4"/>
    </row>
    <row r="181" spans="1:28" ht="13.5" customHeight="1">
      <c r="A181" s="4"/>
      <c r="B181" s="9"/>
      <c r="C181" s="9"/>
      <c r="D181" s="4"/>
      <c r="E181" s="4"/>
      <c r="F181" s="4"/>
      <c r="G181" s="4"/>
      <c r="H181" s="4"/>
      <c r="I181" s="4"/>
      <c r="J181" s="4"/>
      <c r="K181" s="4"/>
      <c r="L181" s="38"/>
      <c r="M181" s="4"/>
      <c r="N181" s="4"/>
      <c r="O181" s="4"/>
      <c r="P181" s="4"/>
      <c r="Q181" s="4"/>
      <c r="R181" s="4"/>
      <c r="S181" s="4"/>
      <c r="T181" s="4"/>
      <c r="U181" s="4"/>
      <c r="V181" s="4"/>
      <c r="W181" s="4"/>
      <c r="X181" s="4"/>
      <c r="Y181" s="4"/>
      <c r="Z181" s="4"/>
      <c r="AA181" s="4"/>
      <c r="AB181" s="4"/>
    </row>
    <row r="182" spans="1:28" ht="13.5" customHeight="1">
      <c r="A182" s="4"/>
      <c r="B182" s="9"/>
      <c r="C182" s="9"/>
      <c r="D182" s="4"/>
      <c r="E182" s="4"/>
      <c r="F182" s="4"/>
      <c r="G182" s="4"/>
      <c r="H182" s="4"/>
      <c r="I182" s="4"/>
      <c r="J182" s="4"/>
      <c r="K182" s="4"/>
      <c r="L182" s="38"/>
      <c r="M182" s="4"/>
      <c r="N182" s="4"/>
      <c r="O182" s="4"/>
      <c r="P182" s="4"/>
      <c r="Q182" s="4"/>
      <c r="R182" s="4"/>
      <c r="S182" s="4"/>
      <c r="T182" s="4"/>
      <c r="U182" s="4"/>
      <c r="V182" s="4"/>
      <c r="W182" s="4"/>
      <c r="X182" s="4"/>
      <c r="Y182" s="4"/>
      <c r="Z182" s="4"/>
      <c r="AA182" s="4"/>
      <c r="AB182" s="4"/>
    </row>
    <row r="183" spans="1:28" ht="13.5" customHeight="1">
      <c r="A183" s="4"/>
      <c r="B183" s="9"/>
      <c r="C183" s="9"/>
      <c r="D183" s="4"/>
      <c r="E183" s="4"/>
      <c r="F183" s="4"/>
      <c r="G183" s="4"/>
      <c r="H183" s="4"/>
      <c r="I183" s="4"/>
      <c r="J183" s="4"/>
      <c r="K183" s="4"/>
      <c r="L183" s="38"/>
      <c r="M183" s="4"/>
      <c r="N183" s="4"/>
      <c r="O183" s="4"/>
      <c r="P183" s="4"/>
      <c r="Q183" s="4"/>
      <c r="R183" s="4"/>
      <c r="S183" s="4"/>
      <c r="T183" s="4"/>
      <c r="U183" s="4"/>
      <c r="V183" s="4"/>
      <c r="W183" s="4"/>
      <c r="X183" s="4"/>
      <c r="Y183" s="4"/>
      <c r="Z183" s="4"/>
      <c r="AA183" s="4"/>
      <c r="AB183" s="4"/>
    </row>
    <row r="184" spans="1:28" ht="13.5" customHeight="1">
      <c r="A184" s="4"/>
      <c r="B184" s="9"/>
      <c r="C184" s="9"/>
      <c r="D184" s="4"/>
      <c r="E184" s="4"/>
      <c r="F184" s="4"/>
      <c r="G184" s="4"/>
      <c r="H184" s="4"/>
      <c r="I184" s="4"/>
      <c r="J184" s="4"/>
      <c r="K184" s="4"/>
      <c r="L184" s="38"/>
      <c r="M184" s="4"/>
      <c r="N184" s="4"/>
      <c r="O184" s="4"/>
      <c r="P184" s="4"/>
      <c r="Q184" s="4"/>
      <c r="R184" s="4"/>
      <c r="S184" s="4"/>
      <c r="T184" s="4"/>
      <c r="U184" s="4"/>
      <c r="V184" s="4"/>
      <c r="W184" s="4"/>
      <c r="X184" s="4"/>
      <c r="Y184" s="4"/>
      <c r="Z184" s="4"/>
      <c r="AA184" s="4"/>
      <c r="AB184" s="4"/>
    </row>
    <row r="185" spans="1:28" ht="13.5" customHeight="1">
      <c r="A185" s="4"/>
      <c r="B185" s="9"/>
      <c r="C185" s="9"/>
      <c r="D185" s="4"/>
      <c r="E185" s="4"/>
      <c r="F185" s="4"/>
      <c r="G185" s="4"/>
      <c r="H185" s="4"/>
      <c r="I185" s="4"/>
      <c r="J185" s="4"/>
      <c r="K185" s="4"/>
      <c r="L185" s="38"/>
      <c r="M185" s="4"/>
      <c r="N185" s="4"/>
      <c r="O185" s="4"/>
      <c r="P185" s="4"/>
      <c r="Q185" s="4"/>
      <c r="R185" s="4"/>
      <c r="S185" s="4"/>
      <c r="T185" s="4"/>
      <c r="U185" s="4"/>
      <c r="V185" s="4"/>
      <c r="W185" s="4"/>
      <c r="X185" s="4"/>
      <c r="Y185" s="4"/>
      <c r="Z185" s="4"/>
      <c r="AA185" s="4"/>
      <c r="AB185" s="4"/>
    </row>
    <row r="186" spans="1:28" ht="13.5" customHeight="1">
      <c r="A186" s="4"/>
      <c r="B186" s="9"/>
      <c r="C186" s="9"/>
      <c r="D186" s="4"/>
      <c r="E186" s="4"/>
      <c r="F186" s="4"/>
      <c r="G186" s="4"/>
      <c r="H186" s="4"/>
      <c r="I186" s="4"/>
      <c r="J186" s="4"/>
      <c r="K186" s="4"/>
      <c r="L186" s="38"/>
      <c r="M186" s="4"/>
      <c r="N186" s="4"/>
      <c r="O186" s="4"/>
      <c r="P186" s="4"/>
      <c r="Q186" s="4"/>
      <c r="R186" s="4"/>
      <c r="S186" s="4"/>
      <c r="T186" s="4"/>
      <c r="U186" s="4"/>
      <c r="V186" s="4"/>
      <c r="W186" s="4"/>
      <c r="X186" s="4"/>
      <c r="Y186" s="4"/>
      <c r="Z186" s="4"/>
      <c r="AA186" s="4"/>
      <c r="AB186" s="4"/>
    </row>
    <row r="187" spans="1:28" ht="13.5" customHeight="1">
      <c r="A187" s="4"/>
      <c r="B187" s="9"/>
      <c r="C187" s="9"/>
      <c r="D187" s="4"/>
      <c r="E187" s="4"/>
      <c r="F187" s="4"/>
      <c r="G187" s="4"/>
      <c r="H187" s="4"/>
      <c r="I187" s="4"/>
      <c r="J187" s="4"/>
      <c r="K187" s="4"/>
      <c r="L187" s="38"/>
      <c r="M187" s="4"/>
      <c r="N187" s="4"/>
      <c r="O187" s="4"/>
      <c r="P187" s="4"/>
      <c r="Q187" s="4"/>
      <c r="R187" s="4"/>
      <c r="S187" s="4"/>
      <c r="T187" s="4"/>
      <c r="U187" s="4"/>
      <c r="V187" s="4"/>
      <c r="W187" s="4"/>
      <c r="X187" s="4"/>
      <c r="Y187" s="4"/>
      <c r="Z187" s="4"/>
      <c r="AA187" s="4"/>
      <c r="AB187" s="4"/>
    </row>
    <row r="188" spans="1:28" ht="13.5" customHeight="1">
      <c r="A188" s="4"/>
      <c r="B188" s="9"/>
      <c r="C188" s="9"/>
      <c r="D188" s="4"/>
      <c r="E188" s="4"/>
      <c r="F188" s="4"/>
      <c r="G188" s="4"/>
      <c r="H188" s="4"/>
      <c r="I188" s="4"/>
      <c r="J188" s="4"/>
      <c r="K188" s="4"/>
      <c r="L188" s="38"/>
      <c r="M188" s="4"/>
      <c r="N188" s="4"/>
      <c r="O188" s="4"/>
      <c r="P188" s="4"/>
      <c r="Q188" s="4"/>
      <c r="R188" s="4"/>
      <c r="S188" s="4"/>
      <c r="T188" s="4"/>
      <c r="U188" s="4"/>
      <c r="V188" s="4"/>
      <c r="W188" s="4"/>
      <c r="X188" s="4"/>
      <c r="Y188" s="4"/>
      <c r="Z188" s="4"/>
      <c r="AA188" s="4"/>
      <c r="AB188" s="4"/>
    </row>
    <row r="189" spans="1:28" ht="13.5" customHeight="1">
      <c r="A189" s="4"/>
      <c r="B189" s="9"/>
      <c r="C189" s="9"/>
      <c r="D189" s="4"/>
      <c r="E189" s="4"/>
      <c r="F189" s="4"/>
      <c r="G189" s="4"/>
      <c r="H189" s="4"/>
      <c r="I189" s="4"/>
      <c r="J189" s="4"/>
      <c r="K189" s="4"/>
      <c r="L189" s="38"/>
      <c r="M189" s="4"/>
      <c r="N189" s="4"/>
      <c r="O189" s="4"/>
      <c r="P189" s="4"/>
      <c r="Q189" s="4"/>
      <c r="R189" s="4"/>
      <c r="S189" s="4"/>
      <c r="T189" s="4"/>
      <c r="U189" s="4"/>
      <c r="V189" s="4"/>
      <c r="W189" s="4"/>
      <c r="X189" s="4"/>
      <c r="Y189" s="4"/>
      <c r="Z189" s="4"/>
      <c r="AA189" s="4"/>
      <c r="AB189" s="4"/>
    </row>
    <row r="190" spans="1:28" ht="13.5" customHeight="1">
      <c r="A190" s="4"/>
      <c r="B190" s="9"/>
      <c r="C190" s="9"/>
      <c r="D190" s="4"/>
      <c r="E190" s="4"/>
      <c r="F190" s="4"/>
      <c r="G190" s="4"/>
      <c r="H190" s="4"/>
      <c r="I190" s="4"/>
      <c r="J190" s="4"/>
      <c r="K190" s="4"/>
      <c r="L190" s="38"/>
      <c r="M190" s="4"/>
      <c r="N190" s="4"/>
      <c r="O190" s="4"/>
      <c r="P190" s="4"/>
      <c r="Q190" s="4"/>
      <c r="R190" s="4"/>
      <c r="S190" s="4"/>
      <c r="T190" s="4"/>
      <c r="U190" s="4"/>
      <c r="V190" s="4"/>
      <c r="W190" s="4"/>
      <c r="X190" s="4"/>
      <c r="Y190" s="4"/>
      <c r="Z190" s="4"/>
      <c r="AA190" s="4"/>
      <c r="AB190" s="4"/>
    </row>
    <row r="191" spans="1:28" ht="13.5" customHeight="1">
      <c r="A191" s="4"/>
      <c r="B191" s="9"/>
      <c r="C191" s="9"/>
      <c r="D191" s="4"/>
      <c r="E191" s="4"/>
      <c r="F191" s="4"/>
      <c r="G191" s="4"/>
      <c r="H191" s="4"/>
      <c r="I191" s="4"/>
      <c r="J191" s="4"/>
      <c r="K191" s="4"/>
      <c r="L191" s="38"/>
      <c r="M191" s="4"/>
      <c r="N191" s="4"/>
      <c r="O191" s="4"/>
      <c r="P191" s="4"/>
      <c r="Q191" s="4"/>
      <c r="R191" s="4"/>
      <c r="S191" s="4"/>
      <c r="T191" s="4"/>
      <c r="U191" s="4"/>
      <c r="V191" s="4"/>
      <c r="W191" s="4"/>
      <c r="X191" s="4"/>
      <c r="Y191" s="4"/>
      <c r="Z191" s="4"/>
      <c r="AA191" s="4"/>
      <c r="AB191" s="4"/>
    </row>
    <row r="192" spans="1:28" ht="13.5" customHeight="1">
      <c r="A192" s="4"/>
      <c r="B192" s="9"/>
      <c r="C192" s="9"/>
      <c r="D192" s="4"/>
      <c r="E192" s="4"/>
      <c r="F192" s="4"/>
      <c r="G192" s="4"/>
      <c r="H192" s="4"/>
      <c r="I192" s="4"/>
      <c r="J192" s="4"/>
      <c r="K192" s="4"/>
      <c r="L192" s="38"/>
      <c r="M192" s="4"/>
      <c r="N192" s="4"/>
      <c r="O192" s="4"/>
      <c r="P192" s="4"/>
      <c r="Q192" s="4"/>
      <c r="R192" s="4"/>
      <c r="S192" s="4"/>
      <c r="T192" s="4"/>
      <c r="U192" s="4"/>
      <c r="V192" s="4"/>
      <c r="W192" s="4"/>
      <c r="X192" s="4"/>
      <c r="Y192" s="4"/>
      <c r="Z192" s="4"/>
      <c r="AA192" s="4"/>
      <c r="AB192" s="4"/>
    </row>
    <row r="193" spans="1:28" ht="13.5" customHeight="1">
      <c r="A193" s="4"/>
      <c r="B193" s="9"/>
      <c r="C193" s="9"/>
      <c r="D193" s="4"/>
      <c r="E193" s="4"/>
      <c r="F193" s="4"/>
      <c r="G193" s="4"/>
      <c r="H193" s="4"/>
      <c r="I193" s="4"/>
      <c r="J193" s="4"/>
      <c r="K193" s="4"/>
      <c r="L193" s="38"/>
      <c r="M193" s="4"/>
      <c r="N193" s="4"/>
      <c r="O193" s="4"/>
      <c r="P193" s="4"/>
      <c r="Q193" s="4"/>
      <c r="R193" s="4"/>
      <c r="S193" s="4"/>
      <c r="T193" s="4"/>
      <c r="U193" s="4"/>
      <c r="V193" s="4"/>
      <c r="W193" s="4"/>
      <c r="X193" s="4"/>
      <c r="Y193" s="4"/>
      <c r="Z193" s="4"/>
      <c r="AA193" s="4"/>
      <c r="AB193" s="4"/>
    </row>
    <row r="194" spans="1:28" ht="13.5" customHeight="1">
      <c r="A194" s="4"/>
      <c r="B194" s="9"/>
      <c r="C194" s="9"/>
      <c r="D194" s="4"/>
      <c r="E194" s="4"/>
      <c r="F194" s="4"/>
      <c r="G194" s="4"/>
      <c r="H194" s="4"/>
      <c r="I194" s="4"/>
      <c r="J194" s="4"/>
      <c r="K194" s="4"/>
      <c r="L194" s="38"/>
      <c r="M194" s="4"/>
      <c r="N194" s="4"/>
      <c r="O194" s="4"/>
      <c r="P194" s="4"/>
      <c r="Q194" s="4"/>
      <c r="R194" s="4"/>
      <c r="S194" s="4"/>
      <c r="T194" s="4"/>
      <c r="U194" s="4"/>
      <c r="V194" s="4"/>
      <c r="W194" s="4"/>
      <c r="X194" s="4"/>
      <c r="Y194" s="4"/>
      <c r="Z194" s="4"/>
      <c r="AA194" s="4"/>
      <c r="AB194" s="4"/>
    </row>
    <row r="195" spans="1:28" ht="13.5" customHeight="1">
      <c r="A195" s="4"/>
      <c r="B195" s="9"/>
      <c r="C195" s="9"/>
      <c r="D195" s="4"/>
      <c r="E195" s="4"/>
      <c r="F195" s="4"/>
      <c r="G195" s="4"/>
      <c r="H195" s="4"/>
      <c r="I195" s="4"/>
      <c r="J195" s="4"/>
      <c r="K195" s="4"/>
      <c r="L195" s="38"/>
      <c r="M195" s="4"/>
      <c r="N195" s="4"/>
      <c r="O195" s="4"/>
      <c r="P195" s="4"/>
      <c r="Q195" s="4"/>
      <c r="R195" s="4"/>
      <c r="S195" s="4"/>
      <c r="T195" s="4"/>
      <c r="U195" s="4"/>
      <c r="V195" s="4"/>
      <c r="W195" s="4"/>
      <c r="X195" s="4"/>
      <c r="Y195" s="4"/>
      <c r="Z195" s="4"/>
      <c r="AA195" s="4"/>
      <c r="AB195" s="4"/>
    </row>
    <row r="196" spans="1:28" ht="13.5" customHeight="1">
      <c r="A196" s="4"/>
      <c r="B196" s="9"/>
      <c r="C196" s="9"/>
      <c r="D196" s="4"/>
      <c r="E196" s="4"/>
      <c r="F196" s="4"/>
      <c r="G196" s="4"/>
      <c r="H196" s="4"/>
      <c r="I196" s="4"/>
      <c r="J196" s="4"/>
      <c r="K196" s="4"/>
      <c r="L196" s="38"/>
      <c r="M196" s="4"/>
      <c r="N196" s="4"/>
      <c r="O196" s="4"/>
      <c r="P196" s="4"/>
      <c r="Q196" s="4"/>
      <c r="R196" s="4"/>
      <c r="S196" s="4"/>
      <c r="T196" s="4"/>
      <c r="U196" s="4"/>
      <c r="V196" s="4"/>
      <c r="W196" s="4"/>
      <c r="X196" s="4"/>
      <c r="Y196" s="4"/>
      <c r="Z196" s="4"/>
      <c r="AA196" s="4"/>
      <c r="AB196" s="4"/>
    </row>
    <row r="197" spans="1:28" ht="13.5" customHeight="1">
      <c r="A197" s="4"/>
      <c r="B197" s="9"/>
      <c r="C197" s="9"/>
      <c r="D197" s="4"/>
      <c r="E197" s="4"/>
      <c r="F197" s="4"/>
      <c r="G197" s="4"/>
      <c r="H197" s="4"/>
      <c r="I197" s="4"/>
      <c r="J197" s="4"/>
      <c r="K197" s="4"/>
      <c r="L197" s="38"/>
      <c r="M197" s="4"/>
      <c r="N197" s="4"/>
      <c r="O197" s="4"/>
      <c r="P197" s="4"/>
      <c r="Q197" s="4"/>
      <c r="R197" s="4"/>
      <c r="S197" s="4"/>
      <c r="T197" s="4"/>
      <c r="U197" s="4"/>
      <c r="V197" s="4"/>
      <c r="W197" s="4"/>
      <c r="X197" s="4"/>
      <c r="Y197" s="4"/>
      <c r="Z197" s="4"/>
      <c r="AA197" s="4"/>
      <c r="AB197" s="4"/>
    </row>
    <row r="198" spans="1:28" ht="13.5" customHeight="1">
      <c r="A198" s="4"/>
      <c r="B198" s="9"/>
      <c r="C198" s="9"/>
      <c r="D198" s="4"/>
      <c r="E198" s="4"/>
      <c r="F198" s="4"/>
      <c r="G198" s="4"/>
      <c r="H198" s="4"/>
      <c r="I198" s="4"/>
      <c r="J198" s="4"/>
      <c r="K198" s="4"/>
      <c r="L198" s="38"/>
      <c r="M198" s="4"/>
      <c r="N198" s="4"/>
      <c r="O198" s="4"/>
      <c r="P198" s="4"/>
      <c r="Q198" s="4"/>
      <c r="R198" s="4"/>
      <c r="S198" s="4"/>
      <c r="T198" s="4"/>
      <c r="U198" s="4"/>
      <c r="V198" s="4"/>
      <c r="W198" s="4"/>
      <c r="X198" s="4"/>
      <c r="Y198" s="4"/>
      <c r="Z198" s="4"/>
      <c r="AA198" s="4"/>
      <c r="AB198" s="4"/>
    </row>
    <row r="199" spans="1:28" ht="13.5" customHeight="1">
      <c r="A199" s="4"/>
      <c r="B199" s="9"/>
      <c r="C199" s="9"/>
      <c r="D199" s="4"/>
      <c r="E199" s="4"/>
      <c r="F199" s="4"/>
      <c r="G199" s="4"/>
      <c r="H199" s="4"/>
      <c r="I199" s="4"/>
      <c r="J199" s="4"/>
      <c r="K199" s="4"/>
      <c r="L199" s="38"/>
      <c r="M199" s="4"/>
      <c r="N199" s="4"/>
      <c r="O199" s="4"/>
      <c r="P199" s="4"/>
      <c r="Q199" s="4"/>
      <c r="R199" s="4"/>
      <c r="S199" s="4"/>
      <c r="T199" s="4"/>
      <c r="U199" s="4"/>
      <c r="V199" s="4"/>
      <c r="W199" s="4"/>
      <c r="X199" s="4"/>
      <c r="Y199" s="4"/>
      <c r="Z199" s="4"/>
      <c r="AA199" s="4"/>
      <c r="AB199" s="4"/>
    </row>
    <row r="200" spans="1:28" ht="13.5" customHeight="1">
      <c r="A200" s="4"/>
      <c r="B200" s="9"/>
      <c r="C200" s="9"/>
      <c r="D200" s="4"/>
      <c r="E200" s="4"/>
      <c r="F200" s="4"/>
      <c r="G200" s="4"/>
      <c r="H200" s="4"/>
      <c r="I200" s="4"/>
      <c r="J200" s="4"/>
      <c r="K200" s="4"/>
      <c r="L200" s="38"/>
      <c r="M200" s="4"/>
      <c r="N200" s="4"/>
      <c r="O200" s="4"/>
      <c r="P200" s="4"/>
      <c r="Q200" s="4"/>
      <c r="R200" s="4"/>
      <c r="S200" s="4"/>
      <c r="T200" s="4"/>
      <c r="U200" s="4"/>
      <c r="V200" s="4"/>
      <c r="W200" s="4"/>
      <c r="X200" s="4"/>
      <c r="Y200" s="4"/>
      <c r="Z200" s="4"/>
      <c r="AA200" s="4"/>
      <c r="AB200" s="4"/>
    </row>
    <row r="201" spans="1:28" ht="13.5" customHeight="1">
      <c r="A201" s="4"/>
      <c r="B201" s="9"/>
      <c r="C201" s="9"/>
      <c r="D201" s="4"/>
      <c r="E201" s="4"/>
      <c r="F201" s="4"/>
      <c r="G201" s="4"/>
      <c r="H201" s="4"/>
      <c r="I201" s="4"/>
      <c r="J201" s="4"/>
      <c r="K201" s="4"/>
      <c r="L201" s="38"/>
      <c r="M201" s="4"/>
      <c r="N201" s="4"/>
      <c r="O201" s="4"/>
      <c r="P201" s="4"/>
      <c r="Q201" s="4"/>
      <c r="R201" s="4"/>
      <c r="S201" s="4"/>
      <c r="T201" s="4"/>
      <c r="U201" s="4"/>
      <c r="V201" s="4"/>
      <c r="W201" s="4"/>
      <c r="X201" s="4"/>
      <c r="Y201" s="4"/>
      <c r="Z201" s="4"/>
      <c r="AA201" s="4"/>
      <c r="AB201" s="4"/>
    </row>
    <row r="202" spans="1:28" ht="13.5" customHeight="1">
      <c r="A202" s="4"/>
      <c r="B202" s="9"/>
      <c r="C202" s="9"/>
      <c r="D202" s="4"/>
      <c r="E202" s="4"/>
      <c r="F202" s="4"/>
      <c r="G202" s="4"/>
      <c r="H202" s="4"/>
      <c r="I202" s="4"/>
      <c r="J202" s="4"/>
      <c r="K202" s="4"/>
      <c r="L202" s="38"/>
      <c r="M202" s="4"/>
      <c r="N202" s="4"/>
      <c r="O202" s="4"/>
      <c r="P202" s="4"/>
      <c r="Q202" s="4"/>
      <c r="R202" s="4"/>
      <c r="S202" s="4"/>
      <c r="T202" s="4"/>
      <c r="U202" s="4"/>
      <c r="V202" s="4"/>
      <c r="W202" s="4"/>
      <c r="X202" s="4"/>
      <c r="Y202" s="4"/>
      <c r="Z202" s="4"/>
      <c r="AA202" s="4"/>
      <c r="AB202" s="4"/>
    </row>
    <row r="203" spans="1:28" ht="13.5" customHeight="1">
      <c r="A203" s="4"/>
      <c r="B203" s="9"/>
      <c r="C203" s="9"/>
      <c r="D203" s="4"/>
      <c r="E203" s="4"/>
      <c r="F203" s="4"/>
      <c r="G203" s="4"/>
      <c r="H203" s="4"/>
      <c r="I203" s="4"/>
      <c r="J203" s="4"/>
      <c r="K203" s="4"/>
      <c r="L203" s="38"/>
      <c r="M203" s="4"/>
      <c r="N203" s="4"/>
      <c r="O203" s="4"/>
      <c r="P203" s="4"/>
      <c r="Q203" s="4"/>
      <c r="R203" s="4"/>
      <c r="S203" s="4"/>
      <c r="T203" s="4"/>
      <c r="U203" s="4"/>
      <c r="V203" s="4"/>
      <c r="W203" s="4"/>
      <c r="X203" s="4"/>
      <c r="Y203" s="4"/>
      <c r="Z203" s="4"/>
      <c r="AA203" s="4"/>
      <c r="AB203" s="4"/>
    </row>
    <row r="204" spans="1:28" ht="13.5" customHeight="1">
      <c r="A204" s="4"/>
      <c r="B204" s="9"/>
      <c r="C204" s="9"/>
      <c r="D204" s="4"/>
      <c r="E204" s="4"/>
      <c r="F204" s="4"/>
      <c r="G204" s="4"/>
      <c r="H204" s="4"/>
      <c r="I204" s="4"/>
      <c r="J204" s="4"/>
      <c r="K204" s="4"/>
      <c r="L204" s="38"/>
      <c r="M204" s="4"/>
      <c r="N204" s="4"/>
      <c r="O204" s="4"/>
      <c r="P204" s="4"/>
      <c r="Q204" s="4"/>
      <c r="R204" s="4"/>
      <c r="S204" s="4"/>
      <c r="T204" s="4"/>
      <c r="U204" s="4"/>
      <c r="V204" s="4"/>
      <c r="W204" s="4"/>
      <c r="X204" s="4"/>
      <c r="Y204" s="4"/>
      <c r="Z204" s="4"/>
      <c r="AA204" s="4"/>
      <c r="AB204" s="4"/>
    </row>
    <row r="205" spans="1:28" ht="13.5" customHeight="1">
      <c r="A205" s="4"/>
      <c r="B205" s="9"/>
      <c r="C205" s="9"/>
      <c r="D205" s="4"/>
      <c r="E205" s="4"/>
      <c r="F205" s="4"/>
      <c r="G205" s="4"/>
      <c r="H205" s="4"/>
      <c r="I205" s="4"/>
      <c r="J205" s="4"/>
      <c r="K205" s="4"/>
      <c r="L205" s="38"/>
      <c r="M205" s="4"/>
      <c r="N205" s="4"/>
      <c r="O205" s="4"/>
      <c r="P205" s="4"/>
      <c r="Q205" s="4"/>
      <c r="R205" s="4"/>
      <c r="S205" s="4"/>
      <c r="T205" s="4"/>
      <c r="U205" s="4"/>
      <c r="V205" s="4"/>
      <c r="W205" s="4"/>
      <c r="X205" s="4"/>
      <c r="Y205" s="4"/>
      <c r="Z205" s="4"/>
      <c r="AA205" s="4"/>
      <c r="AB205" s="4"/>
    </row>
    <row r="206" spans="1:28" ht="13.5" customHeight="1">
      <c r="A206" s="4"/>
      <c r="B206" s="9"/>
      <c r="C206" s="9"/>
      <c r="D206" s="4"/>
      <c r="E206" s="4"/>
      <c r="F206" s="4"/>
      <c r="G206" s="4"/>
      <c r="H206" s="4"/>
      <c r="I206" s="4"/>
      <c r="J206" s="4"/>
      <c r="K206" s="4"/>
      <c r="L206" s="38"/>
      <c r="M206" s="4"/>
      <c r="N206" s="4"/>
      <c r="O206" s="4"/>
      <c r="P206" s="4"/>
      <c r="Q206" s="4"/>
      <c r="R206" s="4"/>
      <c r="S206" s="4"/>
      <c r="T206" s="4"/>
      <c r="U206" s="4"/>
      <c r="V206" s="4"/>
      <c r="W206" s="4"/>
      <c r="X206" s="4"/>
      <c r="Y206" s="4"/>
      <c r="Z206" s="4"/>
      <c r="AA206" s="4"/>
      <c r="AB206" s="4"/>
    </row>
    <row r="207" spans="1:28" ht="13.5" customHeight="1">
      <c r="A207" s="4"/>
      <c r="B207" s="9"/>
      <c r="C207" s="9"/>
      <c r="D207" s="4"/>
      <c r="E207" s="4"/>
      <c r="F207" s="4"/>
      <c r="G207" s="4"/>
      <c r="H207" s="4"/>
      <c r="I207" s="4"/>
      <c r="J207" s="4"/>
      <c r="K207" s="4"/>
      <c r="L207" s="38"/>
      <c r="M207" s="4"/>
      <c r="N207" s="4"/>
      <c r="O207" s="4"/>
      <c r="P207" s="4"/>
      <c r="Q207" s="4"/>
      <c r="R207" s="4"/>
      <c r="S207" s="4"/>
      <c r="T207" s="4"/>
      <c r="U207" s="4"/>
      <c r="V207" s="4"/>
      <c r="W207" s="4"/>
      <c r="X207" s="4"/>
      <c r="Y207" s="4"/>
      <c r="Z207" s="4"/>
      <c r="AA207" s="4"/>
      <c r="AB207" s="4"/>
    </row>
    <row r="208" spans="1:28" ht="13.5" customHeight="1">
      <c r="A208" s="4"/>
      <c r="B208" s="9"/>
      <c r="C208" s="9"/>
      <c r="D208" s="4"/>
      <c r="E208" s="4"/>
      <c r="F208" s="4"/>
      <c r="G208" s="4"/>
      <c r="H208" s="4"/>
      <c r="I208" s="4"/>
      <c r="J208" s="4"/>
      <c r="K208" s="4"/>
      <c r="L208" s="38"/>
      <c r="M208" s="4"/>
      <c r="N208" s="4"/>
      <c r="O208" s="4"/>
      <c r="P208" s="4"/>
      <c r="Q208" s="4"/>
      <c r="R208" s="4"/>
      <c r="S208" s="4"/>
      <c r="T208" s="4"/>
      <c r="U208" s="4"/>
      <c r="V208" s="4"/>
      <c r="W208" s="4"/>
      <c r="X208" s="4"/>
      <c r="Y208" s="4"/>
      <c r="Z208" s="4"/>
      <c r="AA208" s="4"/>
      <c r="AB208" s="4"/>
    </row>
    <row r="209" spans="1:28" ht="13.5" customHeight="1">
      <c r="A209" s="4"/>
      <c r="B209" s="9"/>
      <c r="C209" s="9"/>
      <c r="D209" s="4"/>
      <c r="E209" s="4"/>
      <c r="F209" s="4"/>
      <c r="G209" s="4"/>
      <c r="H209" s="4"/>
      <c r="I209" s="4"/>
      <c r="J209" s="4"/>
      <c r="K209" s="4"/>
      <c r="L209" s="38"/>
      <c r="M209" s="4"/>
      <c r="N209" s="4"/>
      <c r="O209" s="4"/>
      <c r="P209" s="4"/>
      <c r="Q209" s="4"/>
      <c r="R209" s="4"/>
      <c r="S209" s="4"/>
      <c r="T209" s="4"/>
      <c r="U209" s="4"/>
      <c r="V209" s="4"/>
      <c r="W209" s="4"/>
      <c r="X209" s="4"/>
      <c r="Y209" s="4"/>
      <c r="Z209" s="4"/>
      <c r="AA209" s="4"/>
      <c r="AB209" s="4"/>
    </row>
    <row r="210" spans="1:28" ht="13.5" customHeight="1">
      <c r="A210" s="4"/>
      <c r="B210" s="9"/>
      <c r="C210" s="9"/>
      <c r="D210" s="4"/>
      <c r="E210" s="4"/>
      <c r="F210" s="4"/>
      <c r="G210" s="4"/>
      <c r="H210" s="4"/>
      <c r="I210" s="4"/>
      <c r="J210" s="4"/>
      <c r="K210" s="4"/>
      <c r="L210" s="38"/>
      <c r="M210" s="4"/>
      <c r="N210" s="4"/>
      <c r="O210" s="4"/>
      <c r="P210" s="4"/>
      <c r="Q210" s="4"/>
      <c r="R210" s="4"/>
      <c r="S210" s="4"/>
      <c r="T210" s="4"/>
      <c r="U210" s="4"/>
      <c r="V210" s="4"/>
      <c r="W210" s="4"/>
      <c r="X210" s="4"/>
      <c r="Y210" s="4"/>
      <c r="Z210" s="4"/>
      <c r="AA210" s="4"/>
      <c r="AB210" s="4"/>
    </row>
    <row r="211" spans="1:28" ht="13.5" customHeight="1">
      <c r="A211" s="4"/>
      <c r="B211" s="9"/>
      <c r="C211" s="9"/>
      <c r="D211" s="4"/>
      <c r="E211" s="4"/>
      <c r="F211" s="4"/>
      <c r="G211" s="4"/>
      <c r="H211" s="4"/>
      <c r="I211" s="4"/>
      <c r="J211" s="4"/>
      <c r="K211" s="4"/>
      <c r="L211" s="38"/>
      <c r="M211" s="4"/>
      <c r="N211" s="4"/>
      <c r="O211" s="4"/>
      <c r="P211" s="4"/>
      <c r="Q211" s="4"/>
      <c r="R211" s="4"/>
      <c r="S211" s="4"/>
      <c r="T211" s="4"/>
      <c r="U211" s="4"/>
      <c r="V211" s="4"/>
      <c r="W211" s="4"/>
      <c r="X211" s="4"/>
      <c r="Y211" s="4"/>
      <c r="Z211" s="4"/>
      <c r="AA211" s="4"/>
      <c r="AB211" s="4"/>
    </row>
    <row r="212" spans="1:28" ht="13.5" customHeight="1">
      <c r="A212" s="4"/>
      <c r="B212" s="9"/>
      <c r="C212" s="9"/>
      <c r="D212" s="4"/>
      <c r="E212" s="4"/>
      <c r="F212" s="4"/>
      <c r="G212" s="4"/>
      <c r="H212" s="4"/>
      <c r="I212" s="4"/>
      <c r="J212" s="4"/>
      <c r="K212" s="4"/>
      <c r="L212" s="38"/>
      <c r="M212" s="4"/>
      <c r="N212" s="4"/>
      <c r="O212" s="4"/>
      <c r="P212" s="4"/>
      <c r="Q212" s="4"/>
      <c r="R212" s="4"/>
      <c r="S212" s="4"/>
      <c r="T212" s="4"/>
      <c r="U212" s="4"/>
      <c r="V212" s="4"/>
      <c r="W212" s="4"/>
      <c r="X212" s="4"/>
      <c r="Y212" s="4"/>
      <c r="Z212" s="4"/>
      <c r="AA212" s="4"/>
      <c r="AB212" s="4"/>
    </row>
    <row r="213" spans="1:28" ht="13.5" customHeight="1">
      <c r="A213" s="4"/>
      <c r="B213" s="9"/>
      <c r="C213" s="9"/>
      <c r="D213" s="4"/>
      <c r="E213" s="4"/>
      <c r="F213" s="4"/>
      <c r="G213" s="4"/>
      <c r="H213" s="4"/>
      <c r="I213" s="4"/>
      <c r="J213" s="4"/>
      <c r="K213" s="4"/>
      <c r="L213" s="38"/>
      <c r="M213" s="4"/>
      <c r="N213" s="4"/>
      <c r="O213" s="4"/>
      <c r="P213" s="4"/>
      <c r="Q213" s="4"/>
      <c r="R213" s="4"/>
      <c r="S213" s="4"/>
      <c r="T213" s="4"/>
      <c r="U213" s="4"/>
      <c r="V213" s="4"/>
      <c r="W213" s="4"/>
      <c r="X213" s="4"/>
      <c r="Y213" s="4"/>
      <c r="Z213" s="4"/>
      <c r="AA213" s="4"/>
      <c r="AB213" s="4"/>
    </row>
    <row r="214" spans="1:28" ht="13.5" customHeight="1">
      <c r="A214" s="4"/>
      <c r="B214" s="9"/>
      <c r="C214" s="9"/>
      <c r="D214" s="4"/>
      <c r="E214" s="4"/>
      <c r="F214" s="4"/>
      <c r="G214" s="4"/>
      <c r="H214" s="4"/>
      <c r="I214" s="4"/>
      <c r="J214" s="4"/>
      <c r="K214" s="4"/>
      <c r="L214" s="38"/>
      <c r="M214" s="4"/>
      <c r="N214" s="4"/>
      <c r="O214" s="4"/>
      <c r="P214" s="4"/>
      <c r="Q214" s="4"/>
      <c r="R214" s="4"/>
      <c r="S214" s="4"/>
      <c r="T214" s="4"/>
      <c r="U214" s="4"/>
      <c r="V214" s="4"/>
      <c r="W214" s="4"/>
      <c r="X214" s="4"/>
      <c r="Y214" s="4"/>
      <c r="Z214" s="4"/>
      <c r="AA214" s="4"/>
      <c r="AB214" s="4"/>
    </row>
    <row r="215" spans="1:28" ht="13.5" customHeight="1">
      <c r="A215" s="4"/>
      <c r="B215" s="9"/>
      <c r="C215" s="9"/>
      <c r="D215" s="4"/>
      <c r="E215" s="4"/>
      <c r="F215" s="4"/>
      <c r="G215" s="4"/>
      <c r="H215" s="4"/>
      <c r="I215" s="4"/>
      <c r="J215" s="4"/>
      <c r="K215" s="4"/>
      <c r="L215" s="38"/>
      <c r="M215" s="4"/>
      <c r="N215" s="4"/>
      <c r="O215" s="4"/>
      <c r="P215" s="4"/>
      <c r="Q215" s="4"/>
      <c r="R215" s="4"/>
      <c r="S215" s="4"/>
      <c r="T215" s="4"/>
      <c r="U215" s="4"/>
      <c r="V215" s="4"/>
      <c r="W215" s="4"/>
      <c r="X215" s="4"/>
      <c r="Y215" s="4"/>
      <c r="Z215" s="4"/>
      <c r="AA215" s="4"/>
      <c r="AB215" s="4"/>
    </row>
    <row r="216" spans="1:28" ht="13.5" customHeight="1">
      <c r="A216" s="4"/>
      <c r="B216" s="9"/>
      <c r="C216" s="9"/>
      <c r="D216" s="4"/>
      <c r="E216" s="4"/>
      <c r="F216" s="4"/>
      <c r="G216" s="4"/>
      <c r="H216" s="4"/>
      <c r="I216" s="4"/>
      <c r="J216" s="4"/>
      <c r="K216" s="4"/>
      <c r="L216" s="38"/>
      <c r="M216" s="4"/>
      <c r="N216" s="4"/>
      <c r="O216" s="4"/>
      <c r="P216" s="4"/>
      <c r="Q216" s="4"/>
      <c r="R216" s="4"/>
      <c r="S216" s="4"/>
      <c r="T216" s="4"/>
      <c r="U216" s="4"/>
      <c r="V216" s="4"/>
      <c r="W216" s="4"/>
      <c r="X216" s="4"/>
      <c r="Y216" s="4"/>
      <c r="Z216" s="4"/>
      <c r="AA216" s="4"/>
      <c r="AB216" s="4"/>
    </row>
    <row r="217" spans="1:28" ht="13.5" customHeight="1">
      <c r="A217" s="4"/>
      <c r="B217" s="9"/>
      <c r="C217" s="9"/>
      <c r="D217" s="4"/>
      <c r="E217" s="4"/>
      <c r="F217" s="4"/>
      <c r="G217" s="4"/>
      <c r="H217" s="4"/>
      <c r="I217" s="4"/>
      <c r="J217" s="4"/>
      <c r="K217" s="4"/>
      <c r="L217" s="38"/>
      <c r="M217" s="4"/>
      <c r="N217" s="4"/>
      <c r="O217" s="4"/>
      <c r="P217" s="4"/>
      <c r="Q217" s="4"/>
      <c r="R217" s="4"/>
      <c r="S217" s="4"/>
      <c r="T217" s="4"/>
      <c r="U217" s="4"/>
      <c r="V217" s="4"/>
      <c r="W217" s="4"/>
      <c r="X217" s="4"/>
      <c r="Y217" s="4"/>
      <c r="Z217" s="4"/>
      <c r="AA217" s="4"/>
      <c r="AB217" s="4"/>
    </row>
    <row r="218" spans="1:28" ht="13.5" customHeight="1">
      <c r="A218" s="4"/>
      <c r="B218" s="9"/>
      <c r="C218" s="9"/>
      <c r="D218" s="4"/>
      <c r="E218" s="4"/>
      <c r="F218" s="4"/>
      <c r="G218" s="4"/>
      <c r="H218" s="4"/>
      <c r="I218" s="4"/>
      <c r="J218" s="4"/>
      <c r="K218" s="4"/>
      <c r="L218" s="38"/>
      <c r="M218" s="4"/>
      <c r="N218" s="4"/>
      <c r="O218" s="4"/>
      <c r="P218" s="4"/>
      <c r="Q218" s="4"/>
      <c r="R218" s="4"/>
      <c r="S218" s="4"/>
      <c r="T218" s="4"/>
      <c r="U218" s="4"/>
      <c r="V218" s="4"/>
      <c r="W218" s="4"/>
      <c r="X218" s="4"/>
      <c r="Y218" s="4"/>
      <c r="Z218" s="4"/>
      <c r="AA218" s="4"/>
      <c r="AB218" s="4"/>
    </row>
    <row r="219" spans="1:28" ht="13.5" customHeight="1">
      <c r="A219" s="4"/>
      <c r="B219" s="9"/>
      <c r="C219" s="9"/>
      <c r="D219" s="4"/>
      <c r="E219" s="4"/>
      <c r="F219" s="4"/>
      <c r="G219" s="4"/>
      <c r="H219" s="4"/>
      <c r="I219" s="4"/>
      <c r="J219" s="4"/>
      <c r="K219" s="4"/>
      <c r="L219" s="38"/>
      <c r="M219" s="4"/>
      <c r="N219" s="4"/>
      <c r="O219" s="4"/>
      <c r="P219" s="4"/>
      <c r="Q219" s="4"/>
      <c r="R219" s="4"/>
      <c r="S219" s="4"/>
      <c r="T219" s="4"/>
      <c r="U219" s="4"/>
      <c r="V219" s="4"/>
      <c r="W219" s="4"/>
      <c r="X219" s="4"/>
      <c r="Y219" s="4"/>
      <c r="Z219" s="4"/>
      <c r="AA219" s="4"/>
      <c r="AB219" s="4"/>
    </row>
    <row r="220" spans="1:28" ht="13.5" customHeight="1">
      <c r="A220" s="4"/>
      <c r="B220" s="9"/>
      <c r="C220" s="9"/>
      <c r="D220" s="4"/>
      <c r="E220" s="4"/>
      <c r="F220" s="4"/>
      <c r="G220" s="4"/>
      <c r="H220" s="4"/>
      <c r="I220" s="4"/>
      <c r="J220" s="4"/>
      <c r="K220" s="4"/>
      <c r="L220" s="38"/>
      <c r="M220" s="4"/>
      <c r="N220" s="4"/>
      <c r="O220" s="4"/>
      <c r="P220" s="4"/>
      <c r="Q220" s="4"/>
      <c r="R220" s="4"/>
      <c r="S220" s="4"/>
      <c r="T220" s="4"/>
      <c r="U220" s="4"/>
      <c r="V220" s="4"/>
      <c r="W220" s="4"/>
      <c r="X220" s="4"/>
      <c r="Y220" s="4"/>
      <c r="Z220" s="4"/>
      <c r="AA220" s="4"/>
      <c r="AB220" s="4"/>
    </row>
    <row r="221" spans="1:28" ht="13.5" customHeight="1">
      <c r="A221" s="4"/>
      <c r="B221" s="9"/>
      <c r="C221" s="9"/>
      <c r="D221" s="4"/>
      <c r="E221" s="4"/>
      <c r="F221" s="4"/>
      <c r="G221" s="4"/>
      <c r="H221" s="4"/>
      <c r="I221" s="4"/>
      <c r="J221" s="4"/>
      <c r="K221" s="4"/>
      <c r="L221" s="38"/>
      <c r="M221" s="4"/>
      <c r="N221" s="4"/>
      <c r="O221" s="4"/>
      <c r="P221" s="4"/>
      <c r="Q221" s="4"/>
      <c r="R221" s="4"/>
      <c r="S221" s="4"/>
      <c r="T221" s="4"/>
      <c r="U221" s="4"/>
      <c r="V221" s="4"/>
      <c r="W221" s="4"/>
      <c r="X221" s="4"/>
      <c r="Y221" s="4"/>
      <c r="Z221" s="4"/>
      <c r="AA221" s="4"/>
      <c r="AB221" s="4"/>
    </row>
    <row r="222" spans="1:28" ht="13.5" customHeight="1">
      <c r="A222" s="4"/>
      <c r="B222" s="9"/>
      <c r="C222" s="9"/>
      <c r="D222" s="4"/>
      <c r="E222" s="4"/>
      <c r="F222" s="4"/>
      <c r="G222" s="4"/>
      <c r="H222" s="4"/>
      <c r="I222" s="4"/>
      <c r="J222" s="4"/>
      <c r="K222" s="4"/>
      <c r="L222" s="38"/>
      <c r="M222" s="4"/>
      <c r="N222" s="4"/>
      <c r="O222" s="4"/>
      <c r="P222" s="4"/>
      <c r="Q222" s="4"/>
      <c r="R222" s="4"/>
      <c r="S222" s="4"/>
      <c r="T222" s="4"/>
      <c r="U222" s="4"/>
      <c r="V222" s="4"/>
      <c r="W222" s="4"/>
      <c r="X222" s="4"/>
      <c r="Y222" s="4"/>
      <c r="Z222" s="4"/>
      <c r="AA222" s="4"/>
      <c r="AB222" s="4"/>
    </row>
    <row r="223" spans="1:28" ht="13.5" customHeight="1">
      <c r="A223" s="4"/>
      <c r="B223" s="9"/>
      <c r="C223" s="9"/>
      <c r="D223" s="4"/>
      <c r="E223" s="4"/>
      <c r="F223" s="4"/>
      <c r="G223" s="4"/>
      <c r="H223" s="4"/>
      <c r="I223" s="4"/>
      <c r="J223" s="4"/>
      <c r="K223" s="4"/>
      <c r="L223" s="38"/>
      <c r="M223" s="4"/>
      <c r="N223" s="4"/>
      <c r="O223" s="4"/>
      <c r="P223" s="4"/>
      <c r="Q223" s="4"/>
      <c r="R223" s="4"/>
      <c r="S223" s="4"/>
      <c r="T223" s="4"/>
      <c r="U223" s="4"/>
      <c r="V223" s="4"/>
      <c r="W223" s="4"/>
      <c r="X223" s="4"/>
      <c r="Y223" s="4"/>
      <c r="Z223" s="4"/>
      <c r="AA223" s="4"/>
      <c r="AB223" s="4"/>
    </row>
    <row r="224" spans="1:28" ht="13.5" customHeight="1">
      <c r="A224" s="4"/>
      <c r="B224" s="9"/>
      <c r="C224" s="9"/>
      <c r="D224" s="4"/>
      <c r="E224" s="4"/>
      <c r="F224" s="4"/>
      <c r="G224" s="4"/>
      <c r="H224" s="4"/>
      <c r="I224" s="4"/>
      <c r="J224" s="4"/>
      <c r="K224" s="4"/>
      <c r="L224" s="38"/>
      <c r="M224" s="4"/>
      <c r="N224" s="4"/>
      <c r="O224" s="4"/>
      <c r="P224" s="4"/>
      <c r="Q224" s="4"/>
      <c r="R224" s="4"/>
      <c r="S224" s="4"/>
      <c r="T224" s="4"/>
      <c r="U224" s="4"/>
      <c r="V224" s="4"/>
      <c r="W224" s="4"/>
      <c r="X224" s="4"/>
      <c r="Y224" s="4"/>
      <c r="Z224" s="4"/>
      <c r="AA224" s="4"/>
      <c r="AB224" s="4"/>
    </row>
    <row r="225" spans="1:28" ht="13.5" customHeight="1">
      <c r="A225" s="4"/>
      <c r="B225" s="9"/>
      <c r="C225" s="9"/>
      <c r="D225" s="4"/>
      <c r="E225" s="4"/>
      <c r="F225" s="4"/>
      <c r="G225" s="4"/>
      <c r="H225" s="4"/>
      <c r="I225" s="4"/>
      <c r="J225" s="4"/>
      <c r="K225" s="4"/>
      <c r="L225" s="38"/>
      <c r="M225" s="4"/>
      <c r="N225" s="4"/>
      <c r="O225" s="4"/>
      <c r="P225" s="4"/>
      <c r="Q225" s="4"/>
      <c r="R225" s="4"/>
      <c r="S225" s="4"/>
      <c r="T225" s="4"/>
      <c r="U225" s="4"/>
      <c r="V225" s="4"/>
      <c r="W225" s="4"/>
      <c r="X225" s="4"/>
      <c r="Y225" s="4"/>
      <c r="Z225" s="4"/>
      <c r="AA225" s="4"/>
      <c r="AB225" s="4"/>
    </row>
    <row r="226" spans="1:28" ht="13.5" customHeight="1">
      <c r="A226" s="4"/>
      <c r="B226" s="9"/>
      <c r="C226" s="9"/>
      <c r="D226" s="4"/>
      <c r="E226" s="4"/>
      <c r="F226" s="4"/>
      <c r="G226" s="4"/>
      <c r="H226" s="4"/>
      <c r="I226" s="4"/>
      <c r="J226" s="4"/>
      <c r="K226" s="4"/>
      <c r="L226" s="38"/>
      <c r="M226" s="4"/>
      <c r="N226" s="4"/>
      <c r="O226" s="4"/>
      <c r="P226" s="4"/>
      <c r="Q226" s="4"/>
      <c r="R226" s="4"/>
      <c r="S226" s="4"/>
      <c r="T226" s="4"/>
      <c r="U226" s="4"/>
      <c r="V226" s="4"/>
      <c r="W226" s="4"/>
      <c r="X226" s="4"/>
      <c r="Y226" s="4"/>
      <c r="Z226" s="4"/>
      <c r="AA226" s="4"/>
      <c r="AB226" s="4"/>
    </row>
    <row r="227" spans="1:28" ht="13.5" customHeight="1">
      <c r="A227" s="4"/>
      <c r="B227" s="9"/>
      <c r="C227" s="9"/>
      <c r="D227" s="4"/>
      <c r="E227" s="4"/>
      <c r="F227" s="4"/>
      <c r="G227" s="4"/>
      <c r="H227" s="4"/>
      <c r="I227" s="4"/>
      <c r="J227" s="4"/>
      <c r="K227" s="4"/>
      <c r="L227" s="38"/>
      <c r="M227" s="4"/>
      <c r="N227" s="4"/>
      <c r="O227" s="4"/>
      <c r="P227" s="4"/>
      <c r="Q227" s="4"/>
      <c r="R227" s="4"/>
      <c r="S227" s="4"/>
      <c r="T227" s="4"/>
      <c r="U227" s="4"/>
      <c r="V227" s="4"/>
      <c r="W227" s="4"/>
      <c r="X227" s="4"/>
      <c r="Y227" s="4"/>
      <c r="Z227" s="4"/>
      <c r="AA227" s="4"/>
      <c r="AB227" s="4"/>
    </row>
    <row r="228" spans="1:28" ht="13.5" customHeight="1">
      <c r="A228" s="4"/>
      <c r="B228" s="9"/>
      <c r="C228" s="9"/>
      <c r="D228" s="4"/>
      <c r="E228" s="4"/>
      <c r="F228" s="4"/>
      <c r="G228" s="4"/>
      <c r="H228" s="4"/>
      <c r="I228" s="4"/>
      <c r="J228" s="4"/>
      <c r="K228" s="4"/>
      <c r="L228" s="38"/>
      <c r="M228" s="4"/>
      <c r="N228" s="4"/>
      <c r="O228" s="4"/>
      <c r="P228" s="4"/>
      <c r="Q228" s="4"/>
      <c r="R228" s="4"/>
      <c r="S228" s="4"/>
      <c r="T228" s="4"/>
      <c r="U228" s="4"/>
      <c r="V228" s="4"/>
      <c r="W228" s="4"/>
      <c r="X228" s="4"/>
      <c r="Y228" s="4"/>
      <c r="Z228" s="4"/>
      <c r="AA228" s="4"/>
      <c r="AB228" s="4"/>
    </row>
    <row r="229" spans="1:28" ht="13.5" customHeight="1">
      <c r="A229" s="4"/>
      <c r="B229" s="9"/>
      <c r="C229" s="9"/>
      <c r="D229" s="4"/>
      <c r="E229" s="4"/>
      <c r="F229" s="4"/>
      <c r="G229" s="4"/>
      <c r="H229" s="4"/>
      <c r="I229" s="4"/>
      <c r="J229" s="4"/>
      <c r="K229" s="4"/>
      <c r="L229" s="38"/>
      <c r="M229" s="4"/>
      <c r="N229" s="4"/>
      <c r="O229" s="4"/>
      <c r="P229" s="4"/>
      <c r="Q229" s="4"/>
      <c r="R229" s="4"/>
      <c r="S229" s="4"/>
      <c r="T229" s="4"/>
      <c r="U229" s="4"/>
      <c r="V229" s="4"/>
      <c r="W229" s="4"/>
      <c r="X229" s="4"/>
      <c r="Y229" s="4"/>
      <c r="Z229" s="4"/>
      <c r="AA229" s="4"/>
      <c r="AB229" s="4"/>
    </row>
    <row r="230" spans="1:28" ht="13.5" customHeight="1">
      <c r="A230" s="4"/>
      <c r="B230" s="9"/>
      <c r="C230" s="9"/>
      <c r="D230" s="4"/>
      <c r="E230" s="4"/>
      <c r="F230" s="4"/>
      <c r="G230" s="4"/>
      <c r="H230" s="4"/>
      <c r="I230" s="4"/>
      <c r="J230" s="4"/>
      <c r="K230" s="4"/>
      <c r="L230" s="38"/>
      <c r="M230" s="4"/>
      <c r="N230" s="4"/>
      <c r="O230" s="4"/>
      <c r="P230" s="4"/>
      <c r="Q230" s="4"/>
      <c r="R230" s="4"/>
      <c r="S230" s="4"/>
      <c r="T230" s="4"/>
      <c r="U230" s="4"/>
      <c r="V230" s="4"/>
      <c r="W230" s="4"/>
      <c r="X230" s="4"/>
      <c r="Y230" s="4"/>
      <c r="Z230" s="4"/>
      <c r="AA230" s="4"/>
      <c r="AB230" s="4"/>
    </row>
    <row r="231" spans="1:28" ht="13.5" customHeight="1">
      <c r="A231" s="4"/>
      <c r="B231" s="9"/>
      <c r="C231" s="9"/>
      <c r="D231" s="4"/>
      <c r="E231" s="4"/>
      <c r="F231" s="4"/>
      <c r="G231" s="4"/>
      <c r="H231" s="4"/>
      <c r="I231" s="4"/>
      <c r="J231" s="4"/>
      <c r="K231" s="4"/>
      <c r="L231" s="38"/>
      <c r="M231" s="4"/>
      <c r="N231" s="4"/>
      <c r="O231" s="4"/>
      <c r="P231" s="4"/>
      <c r="Q231" s="4"/>
      <c r="R231" s="4"/>
      <c r="S231" s="4"/>
      <c r="T231" s="4"/>
      <c r="U231" s="4"/>
      <c r="V231" s="4"/>
      <c r="W231" s="4"/>
      <c r="X231" s="4"/>
      <c r="Y231" s="4"/>
      <c r="Z231" s="4"/>
      <c r="AA231" s="4"/>
      <c r="AB231" s="4"/>
    </row>
    <row r="232" spans="1:28" ht="13.5" customHeight="1">
      <c r="A232" s="4"/>
      <c r="B232" s="9"/>
      <c r="C232" s="9"/>
      <c r="D232" s="4"/>
      <c r="E232" s="4"/>
      <c r="F232" s="4"/>
      <c r="G232" s="4"/>
      <c r="H232" s="4"/>
      <c r="I232" s="4"/>
      <c r="J232" s="4"/>
      <c r="K232" s="4"/>
      <c r="L232" s="38"/>
      <c r="M232" s="4"/>
      <c r="N232" s="4"/>
      <c r="O232" s="4"/>
      <c r="P232" s="4"/>
      <c r="Q232" s="4"/>
      <c r="R232" s="4"/>
      <c r="S232" s="4"/>
      <c r="T232" s="4"/>
      <c r="U232" s="4"/>
      <c r="V232" s="4"/>
      <c r="W232" s="4"/>
      <c r="X232" s="4"/>
      <c r="Y232" s="4"/>
      <c r="Z232" s="4"/>
      <c r="AA232" s="4"/>
      <c r="AB232" s="4"/>
    </row>
    <row r="233" spans="1:28" ht="13.5" customHeight="1">
      <c r="A233" s="4"/>
      <c r="B233" s="9"/>
      <c r="C233" s="9"/>
      <c r="D233" s="4"/>
      <c r="E233" s="4"/>
      <c r="F233" s="4"/>
      <c r="G233" s="4"/>
      <c r="H233" s="4"/>
      <c r="I233" s="4"/>
      <c r="J233" s="4"/>
      <c r="K233" s="4"/>
      <c r="L233" s="38"/>
      <c r="M233" s="4"/>
      <c r="N233" s="4"/>
      <c r="O233" s="4"/>
      <c r="P233" s="4"/>
      <c r="Q233" s="4"/>
      <c r="R233" s="4"/>
      <c r="S233" s="4"/>
      <c r="T233" s="4"/>
      <c r="U233" s="4"/>
      <c r="V233" s="4"/>
      <c r="W233" s="4"/>
      <c r="X233" s="4"/>
      <c r="Y233" s="4"/>
      <c r="Z233" s="4"/>
      <c r="AA233" s="4"/>
      <c r="AB233" s="4"/>
    </row>
    <row r="234" spans="1:28" ht="13.5" customHeight="1">
      <c r="A234" s="4"/>
      <c r="B234" s="9"/>
      <c r="C234" s="9"/>
      <c r="D234" s="4"/>
      <c r="E234" s="4"/>
      <c r="F234" s="4"/>
      <c r="G234" s="4"/>
      <c r="H234" s="4"/>
      <c r="I234" s="4"/>
      <c r="J234" s="4"/>
      <c r="K234" s="4"/>
      <c r="L234" s="38"/>
      <c r="M234" s="4"/>
      <c r="N234" s="4"/>
      <c r="O234" s="4"/>
      <c r="P234" s="4"/>
      <c r="Q234" s="4"/>
      <c r="R234" s="4"/>
      <c r="S234" s="4"/>
      <c r="T234" s="4"/>
      <c r="U234" s="4"/>
      <c r="V234" s="4"/>
      <c r="W234" s="4"/>
      <c r="X234" s="4"/>
      <c r="Y234" s="4"/>
      <c r="Z234" s="4"/>
      <c r="AA234" s="4"/>
      <c r="AB234" s="4"/>
    </row>
    <row r="235" spans="1:28" ht="13.5" customHeight="1">
      <c r="A235" s="4"/>
      <c r="B235" s="9"/>
      <c r="C235" s="9"/>
      <c r="D235" s="4"/>
      <c r="E235" s="4"/>
      <c r="F235" s="4"/>
      <c r="G235" s="4"/>
      <c r="H235" s="4"/>
      <c r="I235" s="4"/>
      <c r="J235" s="4"/>
      <c r="K235" s="4"/>
      <c r="L235" s="38"/>
      <c r="M235" s="4"/>
      <c r="N235" s="4"/>
      <c r="O235" s="4"/>
      <c r="P235" s="4"/>
      <c r="Q235" s="4"/>
      <c r="R235" s="4"/>
      <c r="S235" s="4"/>
      <c r="T235" s="4"/>
      <c r="U235" s="4"/>
      <c r="V235" s="4"/>
      <c r="W235" s="4"/>
      <c r="X235" s="4"/>
      <c r="Y235" s="4"/>
      <c r="Z235" s="4"/>
      <c r="AA235" s="4"/>
      <c r="AB235" s="4"/>
    </row>
    <row r="236" spans="1:28" ht="13.5" customHeight="1">
      <c r="A236" s="4"/>
      <c r="B236" s="9"/>
      <c r="C236" s="9"/>
      <c r="D236" s="4"/>
      <c r="E236" s="4"/>
      <c r="F236" s="4"/>
      <c r="G236" s="4"/>
      <c r="H236" s="4"/>
      <c r="I236" s="4"/>
      <c r="J236" s="4"/>
      <c r="K236" s="4"/>
      <c r="L236" s="38"/>
      <c r="M236" s="4"/>
      <c r="N236" s="4"/>
      <c r="O236" s="4"/>
      <c r="P236" s="4"/>
      <c r="Q236" s="4"/>
      <c r="R236" s="4"/>
      <c r="S236" s="4"/>
      <c r="T236" s="4"/>
      <c r="U236" s="4"/>
      <c r="V236" s="4"/>
      <c r="W236" s="4"/>
      <c r="X236" s="4"/>
      <c r="Y236" s="4"/>
      <c r="Z236" s="4"/>
      <c r="AA236" s="4"/>
      <c r="AB236" s="4"/>
    </row>
    <row r="237" spans="1:28" ht="13.5" customHeight="1">
      <c r="A237" s="4"/>
      <c r="B237" s="9"/>
      <c r="C237" s="9"/>
      <c r="D237" s="4"/>
      <c r="E237" s="4"/>
      <c r="F237" s="4"/>
      <c r="G237" s="4"/>
      <c r="H237" s="4"/>
      <c r="I237" s="4"/>
      <c r="J237" s="4"/>
      <c r="K237" s="4"/>
      <c r="L237" s="38"/>
      <c r="M237" s="4"/>
      <c r="N237" s="4"/>
      <c r="O237" s="4"/>
      <c r="P237" s="4"/>
      <c r="Q237" s="4"/>
      <c r="R237" s="4"/>
      <c r="S237" s="4"/>
      <c r="T237" s="4"/>
      <c r="U237" s="4"/>
      <c r="V237" s="4"/>
      <c r="W237" s="4"/>
      <c r="X237" s="4"/>
      <c r="Y237" s="4"/>
      <c r="Z237" s="4"/>
      <c r="AA237" s="4"/>
      <c r="AB237" s="4"/>
    </row>
    <row r="238" spans="1:28" ht="13.5" customHeight="1">
      <c r="A238" s="4"/>
      <c r="B238" s="9"/>
      <c r="C238" s="9"/>
      <c r="D238" s="4"/>
      <c r="E238" s="4"/>
      <c r="F238" s="4"/>
      <c r="G238" s="4"/>
      <c r="H238" s="4"/>
      <c r="I238" s="4"/>
      <c r="J238" s="4"/>
      <c r="K238" s="4"/>
      <c r="L238" s="38"/>
      <c r="M238" s="4"/>
      <c r="N238" s="4"/>
      <c r="O238" s="4"/>
      <c r="P238" s="4"/>
      <c r="Q238" s="4"/>
      <c r="R238" s="4"/>
      <c r="S238" s="4"/>
      <c r="T238" s="4"/>
      <c r="U238" s="4"/>
      <c r="V238" s="4"/>
      <c r="W238" s="4"/>
      <c r="X238" s="4"/>
      <c r="Y238" s="4"/>
      <c r="Z238" s="4"/>
      <c r="AA238" s="4"/>
      <c r="AB238" s="4"/>
    </row>
    <row r="239" spans="1:28" ht="13.5" customHeight="1">
      <c r="A239" s="4"/>
      <c r="B239" s="9"/>
      <c r="C239" s="9"/>
      <c r="D239" s="4"/>
      <c r="E239" s="4"/>
      <c r="F239" s="4"/>
      <c r="G239" s="4"/>
      <c r="H239" s="4"/>
      <c r="I239" s="4"/>
      <c r="J239" s="4"/>
      <c r="K239" s="4"/>
      <c r="L239" s="38"/>
      <c r="M239" s="4"/>
      <c r="N239" s="4"/>
      <c r="O239" s="4"/>
      <c r="P239" s="4"/>
      <c r="Q239" s="4"/>
      <c r="R239" s="4"/>
      <c r="S239" s="4"/>
      <c r="T239" s="4"/>
      <c r="U239" s="4"/>
      <c r="V239" s="4"/>
      <c r="W239" s="4"/>
      <c r="X239" s="4"/>
      <c r="Y239" s="4"/>
      <c r="Z239" s="4"/>
      <c r="AA239" s="4"/>
      <c r="AB239" s="4"/>
    </row>
    <row r="240" spans="1:28" ht="13.5" customHeight="1">
      <c r="A240" s="4"/>
      <c r="B240" s="9"/>
      <c r="C240" s="9"/>
      <c r="D240" s="4"/>
      <c r="E240" s="4"/>
      <c r="F240" s="4"/>
      <c r="G240" s="4"/>
      <c r="H240" s="4"/>
      <c r="I240" s="4"/>
      <c r="J240" s="4"/>
      <c r="K240" s="4"/>
      <c r="L240" s="38"/>
      <c r="M240" s="4"/>
      <c r="N240" s="4"/>
      <c r="O240" s="4"/>
      <c r="P240" s="4"/>
      <c r="Q240" s="4"/>
      <c r="R240" s="4"/>
      <c r="S240" s="4"/>
      <c r="T240" s="4"/>
      <c r="U240" s="4"/>
      <c r="V240" s="4"/>
      <c r="W240" s="4"/>
      <c r="X240" s="4"/>
      <c r="Y240" s="4"/>
      <c r="Z240" s="4"/>
      <c r="AA240" s="4"/>
      <c r="AB240" s="4"/>
    </row>
    <row r="241" spans="1:28" ht="13.5" customHeight="1">
      <c r="A241" s="4"/>
      <c r="B241" s="9"/>
      <c r="C241" s="9"/>
      <c r="D241" s="4"/>
      <c r="E241" s="4"/>
      <c r="F241" s="4"/>
      <c r="G241" s="4"/>
      <c r="H241" s="4"/>
      <c r="I241" s="4"/>
      <c r="J241" s="4"/>
      <c r="K241" s="4"/>
      <c r="L241" s="38"/>
      <c r="M241" s="4"/>
      <c r="N241" s="4"/>
      <c r="O241" s="4"/>
      <c r="P241" s="4"/>
      <c r="Q241" s="4"/>
      <c r="R241" s="4"/>
      <c r="S241" s="4"/>
      <c r="T241" s="4"/>
      <c r="U241" s="4"/>
      <c r="V241" s="4"/>
      <c r="W241" s="4"/>
      <c r="X241" s="4"/>
      <c r="Y241" s="4"/>
      <c r="Z241" s="4"/>
      <c r="AA241" s="4"/>
      <c r="AB241" s="4"/>
    </row>
    <row r="242" spans="1:28" ht="13.5" customHeight="1">
      <c r="A242" s="4"/>
      <c r="B242" s="9"/>
      <c r="C242" s="9"/>
      <c r="D242" s="4"/>
      <c r="E242" s="4"/>
      <c r="F242" s="4"/>
      <c r="G242" s="4"/>
      <c r="H242" s="4"/>
      <c r="I242" s="4"/>
      <c r="J242" s="4"/>
      <c r="K242" s="4"/>
      <c r="L242" s="38"/>
      <c r="M242" s="4"/>
      <c r="N242" s="4"/>
      <c r="O242" s="4"/>
      <c r="P242" s="4"/>
      <c r="Q242" s="4"/>
      <c r="R242" s="4"/>
      <c r="S242" s="4"/>
      <c r="T242" s="4"/>
      <c r="U242" s="4"/>
      <c r="V242" s="4"/>
      <c r="W242" s="4"/>
      <c r="X242" s="4"/>
      <c r="Y242" s="4"/>
      <c r="Z242" s="4"/>
      <c r="AA242" s="4"/>
      <c r="AB242" s="4"/>
    </row>
    <row r="243" spans="1:28" ht="13.5" customHeight="1">
      <c r="A243" s="4"/>
      <c r="B243" s="9"/>
      <c r="C243" s="9"/>
      <c r="D243" s="4"/>
      <c r="E243" s="4"/>
      <c r="F243" s="4"/>
      <c r="G243" s="4"/>
      <c r="H243" s="4"/>
      <c r="I243" s="4"/>
      <c r="J243" s="4"/>
      <c r="K243" s="4"/>
      <c r="L243" s="38"/>
      <c r="M243" s="4"/>
      <c r="N243" s="4"/>
      <c r="O243" s="4"/>
      <c r="P243" s="4"/>
      <c r="Q243" s="4"/>
      <c r="R243" s="4"/>
      <c r="S243" s="4"/>
      <c r="T243" s="4"/>
      <c r="U243" s="4"/>
      <c r="V243" s="4"/>
      <c r="W243" s="4"/>
      <c r="X243" s="4"/>
      <c r="Y243" s="4"/>
      <c r="Z243" s="4"/>
      <c r="AA243" s="4"/>
      <c r="AB243" s="4"/>
    </row>
    <row r="244" spans="1:28" ht="13.5" customHeight="1">
      <c r="A244" s="4"/>
      <c r="B244" s="9"/>
      <c r="C244" s="9"/>
      <c r="D244" s="4"/>
      <c r="E244" s="4"/>
      <c r="F244" s="4"/>
      <c r="G244" s="4"/>
      <c r="H244" s="4"/>
      <c r="I244" s="4"/>
      <c r="J244" s="4"/>
      <c r="K244" s="4"/>
      <c r="L244" s="38"/>
      <c r="M244" s="4"/>
      <c r="N244" s="4"/>
      <c r="O244" s="4"/>
      <c r="P244" s="4"/>
      <c r="Q244" s="4"/>
      <c r="R244" s="4"/>
      <c r="S244" s="4"/>
      <c r="T244" s="4"/>
      <c r="U244" s="4"/>
      <c r="V244" s="4"/>
      <c r="W244" s="4"/>
      <c r="X244" s="4"/>
      <c r="Y244" s="4"/>
      <c r="Z244" s="4"/>
      <c r="AA244" s="4"/>
      <c r="AB244" s="4"/>
    </row>
    <row r="245" spans="1:28" ht="13.5" customHeight="1">
      <c r="A245" s="4"/>
      <c r="B245" s="9"/>
      <c r="C245" s="9"/>
      <c r="D245" s="4"/>
      <c r="E245" s="4"/>
      <c r="F245" s="4"/>
      <c r="G245" s="4"/>
      <c r="H245" s="4"/>
      <c r="I245" s="4"/>
      <c r="J245" s="4"/>
      <c r="K245" s="4"/>
      <c r="L245" s="38"/>
      <c r="M245" s="4"/>
      <c r="N245" s="4"/>
      <c r="O245" s="4"/>
      <c r="P245" s="4"/>
      <c r="Q245" s="4"/>
      <c r="R245" s="4"/>
      <c r="S245" s="4"/>
      <c r="T245" s="4"/>
      <c r="U245" s="4"/>
      <c r="V245" s="4"/>
      <c r="W245" s="4"/>
      <c r="X245" s="4"/>
      <c r="Y245" s="4"/>
      <c r="Z245" s="4"/>
      <c r="AA245" s="4"/>
      <c r="AB245" s="4"/>
    </row>
    <row r="246" spans="1:28" ht="13.5" customHeight="1">
      <c r="A246" s="4"/>
      <c r="B246" s="9"/>
      <c r="C246" s="9"/>
      <c r="D246" s="4"/>
      <c r="E246" s="4"/>
      <c r="F246" s="4"/>
      <c r="G246" s="4"/>
      <c r="H246" s="4"/>
      <c r="I246" s="4"/>
      <c r="J246" s="4"/>
      <c r="K246" s="4"/>
      <c r="L246" s="38"/>
      <c r="M246" s="4"/>
      <c r="N246" s="4"/>
      <c r="O246" s="4"/>
      <c r="P246" s="4"/>
      <c r="Q246" s="4"/>
      <c r="R246" s="4"/>
      <c r="S246" s="4"/>
      <c r="T246" s="4"/>
      <c r="U246" s="4"/>
      <c r="V246" s="4"/>
      <c r="W246" s="4"/>
      <c r="X246" s="4"/>
      <c r="Y246" s="4"/>
      <c r="Z246" s="4"/>
      <c r="AA246" s="4"/>
      <c r="AB246" s="4"/>
    </row>
    <row r="247" spans="1:28" ht="13.5" customHeight="1">
      <c r="A247" s="4"/>
      <c r="B247" s="9"/>
      <c r="C247" s="9"/>
      <c r="D247" s="4"/>
      <c r="E247" s="4"/>
      <c r="F247" s="4"/>
      <c r="G247" s="4"/>
      <c r="H247" s="4"/>
      <c r="I247" s="4"/>
      <c r="J247" s="4"/>
      <c r="K247" s="4"/>
      <c r="L247" s="38"/>
      <c r="M247" s="4"/>
      <c r="N247" s="4"/>
      <c r="O247" s="4"/>
      <c r="P247" s="4"/>
      <c r="Q247" s="4"/>
      <c r="R247" s="4"/>
      <c r="S247" s="4"/>
      <c r="T247" s="4"/>
      <c r="U247" s="4"/>
      <c r="V247" s="4"/>
      <c r="W247" s="4"/>
      <c r="X247" s="4"/>
      <c r="Y247" s="4"/>
      <c r="Z247" s="4"/>
      <c r="AA247" s="4"/>
      <c r="AB247" s="4"/>
    </row>
    <row r="248" spans="1:28" ht="13.5" customHeight="1">
      <c r="A248" s="4"/>
      <c r="B248" s="9"/>
      <c r="C248" s="9"/>
      <c r="D248" s="4"/>
      <c r="E248" s="4"/>
      <c r="F248" s="4"/>
      <c r="G248" s="4"/>
      <c r="H248" s="4"/>
      <c r="I248" s="4"/>
      <c r="J248" s="4"/>
      <c r="K248" s="4"/>
      <c r="L248" s="38"/>
      <c r="M248" s="4"/>
      <c r="N248" s="4"/>
      <c r="O248" s="4"/>
      <c r="P248" s="4"/>
      <c r="Q248" s="4"/>
      <c r="R248" s="4"/>
      <c r="S248" s="4"/>
      <c r="T248" s="4"/>
      <c r="U248" s="4"/>
      <c r="V248" s="4"/>
      <c r="W248" s="4"/>
      <c r="X248" s="4"/>
      <c r="Y248" s="4"/>
      <c r="Z248" s="4"/>
      <c r="AA248" s="4"/>
      <c r="AB248" s="4"/>
    </row>
    <row r="249" spans="1:28" ht="13.5" customHeight="1">
      <c r="A249" s="4"/>
      <c r="B249" s="9"/>
      <c r="C249" s="9"/>
      <c r="D249" s="4"/>
      <c r="E249" s="4"/>
      <c r="F249" s="4"/>
      <c r="G249" s="4"/>
      <c r="H249" s="4"/>
      <c r="I249" s="4"/>
      <c r="J249" s="4"/>
      <c r="K249" s="4"/>
      <c r="L249" s="38"/>
      <c r="M249" s="4"/>
      <c r="N249" s="4"/>
      <c r="O249" s="4"/>
      <c r="P249" s="4"/>
      <c r="Q249" s="4"/>
      <c r="R249" s="4"/>
      <c r="S249" s="4"/>
      <c r="T249" s="4"/>
      <c r="U249" s="4"/>
      <c r="V249" s="4"/>
      <c r="W249" s="4"/>
      <c r="X249" s="4"/>
      <c r="Y249" s="4"/>
      <c r="Z249" s="4"/>
      <c r="AA249" s="4"/>
      <c r="AB249" s="4"/>
    </row>
    <row r="250" spans="1:28" ht="13.5" customHeight="1">
      <c r="A250" s="4"/>
      <c r="B250" s="9"/>
      <c r="C250" s="9"/>
      <c r="D250" s="4"/>
      <c r="E250" s="4"/>
      <c r="F250" s="4"/>
      <c r="G250" s="4"/>
      <c r="H250" s="4"/>
      <c r="I250" s="4"/>
      <c r="J250" s="4"/>
      <c r="K250" s="4"/>
      <c r="L250" s="38"/>
      <c r="M250" s="4"/>
      <c r="N250" s="4"/>
      <c r="O250" s="4"/>
      <c r="P250" s="4"/>
      <c r="Q250" s="4"/>
      <c r="R250" s="4"/>
      <c r="S250" s="4"/>
      <c r="T250" s="4"/>
      <c r="U250" s="4"/>
      <c r="V250" s="4"/>
      <c r="W250" s="4"/>
      <c r="X250" s="4"/>
      <c r="Y250" s="4"/>
      <c r="Z250" s="4"/>
      <c r="AA250" s="4"/>
      <c r="AB250" s="4"/>
    </row>
    <row r="251" spans="1:28" ht="13.5" customHeight="1">
      <c r="A251" s="4"/>
      <c r="B251" s="9"/>
      <c r="C251" s="9"/>
      <c r="D251" s="4"/>
      <c r="E251" s="4"/>
      <c r="F251" s="4"/>
      <c r="G251" s="4"/>
      <c r="H251" s="4"/>
      <c r="I251" s="4"/>
      <c r="J251" s="4"/>
      <c r="K251" s="4"/>
      <c r="L251" s="38"/>
      <c r="M251" s="4"/>
      <c r="N251" s="4"/>
      <c r="O251" s="4"/>
      <c r="P251" s="4"/>
      <c r="Q251" s="4"/>
      <c r="R251" s="4"/>
      <c r="S251" s="4"/>
      <c r="T251" s="4"/>
      <c r="U251" s="4"/>
      <c r="V251" s="4"/>
      <c r="W251" s="4"/>
      <c r="X251" s="4"/>
      <c r="Y251" s="4"/>
      <c r="Z251" s="4"/>
      <c r="AA251" s="4"/>
      <c r="AB251" s="4"/>
    </row>
    <row r="252" spans="1:28" ht="13.5" customHeight="1">
      <c r="A252" s="4"/>
      <c r="B252" s="9"/>
      <c r="C252" s="9"/>
      <c r="D252" s="4"/>
      <c r="E252" s="4"/>
      <c r="F252" s="4"/>
      <c r="G252" s="4"/>
      <c r="H252" s="4"/>
      <c r="I252" s="4"/>
      <c r="J252" s="4"/>
      <c r="K252" s="4"/>
      <c r="L252" s="38"/>
      <c r="M252" s="4"/>
      <c r="N252" s="4"/>
      <c r="O252" s="4"/>
      <c r="P252" s="4"/>
      <c r="Q252" s="4"/>
      <c r="R252" s="4"/>
      <c r="S252" s="4"/>
      <c r="T252" s="4"/>
      <c r="U252" s="4"/>
      <c r="V252" s="4"/>
      <c r="W252" s="4"/>
      <c r="X252" s="4"/>
      <c r="Y252" s="4"/>
      <c r="Z252" s="4"/>
      <c r="AA252" s="4"/>
      <c r="AB252" s="4"/>
    </row>
    <row r="253" spans="1:28" ht="13.5" customHeight="1">
      <c r="A253" s="4"/>
      <c r="B253" s="9"/>
      <c r="C253" s="9"/>
      <c r="D253" s="4"/>
      <c r="E253" s="4"/>
      <c r="F253" s="4"/>
      <c r="G253" s="4"/>
      <c r="H253" s="4"/>
      <c r="I253" s="4"/>
      <c r="J253" s="4"/>
      <c r="K253" s="4"/>
      <c r="L253" s="38"/>
      <c r="M253" s="4"/>
      <c r="N253" s="4"/>
      <c r="O253" s="4"/>
      <c r="P253" s="4"/>
      <c r="Q253" s="4"/>
      <c r="R253" s="4"/>
      <c r="S253" s="4"/>
      <c r="T253" s="4"/>
      <c r="U253" s="4"/>
      <c r="V253" s="4"/>
      <c r="W253" s="4"/>
      <c r="X253" s="4"/>
      <c r="Y253" s="4"/>
      <c r="Z253" s="4"/>
      <c r="AA253" s="4"/>
      <c r="AB253" s="4"/>
    </row>
    <row r="254" spans="1:28" ht="13.5" customHeight="1">
      <c r="A254" s="4"/>
      <c r="B254" s="9"/>
      <c r="C254" s="9"/>
      <c r="D254" s="4"/>
      <c r="E254" s="4"/>
      <c r="F254" s="4"/>
      <c r="G254" s="4"/>
      <c r="H254" s="4"/>
      <c r="I254" s="4"/>
      <c r="J254" s="4"/>
      <c r="K254" s="4"/>
      <c r="L254" s="38"/>
      <c r="M254" s="4"/>
      <c r="N254" s="4"/>
      <c r="O254" s="4"/>
      <c r="P254" s="4"/>
      <c r="Q254" s="4"/>
      <c r="R254" s="4"/>
      <c r="S254" s="4"/>
      <c r="T254" s="4"/>
      <c r="U254" s="4"/>
      <c r="V254" s="4"/>
      <c r="W254" s="4"/>
      <c r="X254" s="4"/>
      <c r="Y254" s="4"/>
      <c r="Z254" s="4"/>
      <c r="AA254" s="4"/>
      <c r="AB254" s="4"/>
    </row>
    <row r="255" spans="1:28" ht="13.5" customHeight="1">
      <c r="A255" s="4"/>
      <c r="B255" s="9"/>
      <c r="C255" s="9"/>
      <c r="D255" s="4"/>
      <c r="E255" s="4"/>
      <c r="F255" s="4"/>
      <c r="G255" s="4"/>
      <c r="H255" s="4"/>
      <c r="I255" s="4"/>
      <c r="J255" s="4"/>
      <c r="K255" s="4"/>
      <c r="L255" s="38"/>
      <c r="M255" s="4"/>
      <c r="N255" s="4"/>
      <c r="O255" s="4"/>
      <c r="P255" s="4"/>
      <c r="Q255" s="4"/>
      <c r="R255" s="4"/>
      <c r="S255" s="4"/>
      <c r="T255" s="4"/>
      <c r="U255" s="4"/>
      <c r="V255" s="4"/>
      <c r="W255" s="4"/>
      <c r="X255" s="4"/>
      <c r="Y255" s="4"/>
      <c r="Z255" s="4"/>
      <c r="AA255" s="4"/>
      <c r="AB255" s="4"/>
    </row>
    <row r="256" spans="1:28" ht="13.5" customHeight="1">
      <c r="A256" s="4"/>
      <c r="B256" s="9"/>
      <c r="C256" s="9"/>
      <c r="D256" s="4"/>
      <c r="E256" s="4"/>
      <c r="F256" s="4"/>
      <c r="G256" s="4"/>
      <c r="H256" s="4"/>
      <c r="I256" s="4"/>
      <c r="J256" s="4"/>
      <c r="K256" s="4"/>
      <c r="L256" s="38"/>
      <c r="M256" s="4"/>
      <c r="N256" s="4"/>
      <c r="O256" s="4"/>
      <c r="P256" s="4"/>
      <c r="Q256" s="4"/>
      <c r="R256" s="4"/>
      <c r="S256" s="4"/>
      <c r="T256" s="4"/>
      <c r="U256" s="4"/>
      <c r="V256" s="4"/>
      <c r="W256" s="4"/>
      <c r="X256" s="4"/>
      <c r="Y256" s="4"/>
      <c r="Z256" s="4"/>
      <c r="AA256" s="4"/>
      <c r="AB256" s="4"/>
    </row>
    <row r="257" spans="1:28" ht="13.5" customHeight="1">
      <c r="A257" s="4"/>
      <c r="B257" s="9"/>
      <c r="C257" s="9"/>
      <c r="D257" s="4"/>
      <c r="E257" s="4"/>
      <c r="F257" s="4"/>
      <c r="G257" s="4"/>
      <c r="H257" s="4"/>
      <c r="I257" s="4"/>
      <c r="J257" s="4"/>
      <c r="K257" s="4"/>
      <c r="L257" s="38"/>
      <c r="M257" s="4"/>
      <c r="N257" s="4"/>
      <c r="O257" s="4"/>
      <c r="P257" s="4"/>
      <c r="Q257" s="4"/>
      <c r="R257" s="4"/>
      <c r="S257" s="4"/>
      <c r="T257" s="4"/>
      <c r="U257" s="4"/>
      <c r="V257" s="4"/>
      <c r="W257" s="4"/>
      <c r="X257" s="4"/>
      <c r="Y257" s="4"/>
      <c r="Z257" s="4"/>
      <c r="AA257" s="4"/>
      <c r="AB257" s="4"/>
    </row>
    <row r="258" spans="1:28" ht="13.5" customHeight="1">
      <c r="A258" s="4"/>
      <c r="B258" s="9"/>
      <c r="C258" s="9"/>
      <c r="D258" s="4"/>
      <c r="E258" s="4"/>
      <c r="F258" s="4"/>
      <c r="G258" s="4"/>
      <c r="H258" s="4"/>
      <c r="I258" s="4"/>
      <c r="J258" s="4"/>
      <c r="K258" s="4"/>
      <c r="L258" s="38"/>
      <c r="M258" s="4"/>
      <c r="N258" s="4"/>
      <c r="O258" s="4"/>
      <c r="P258" s="4"/>
      <c r="Q258" s="4"/>
      <c r="R258" s="4"/>
      <c r="S258" s="4"/>
      <c r="T258" s="4"/>
      <c r="U258" s="4"/>
      <c r="V258" s="4"/>
      <c r="W258" s="4"/>
      <c r="X258" s="4"/>
      <c r="Y258" s="4"/>
      <c r="Z258" s="4"/>
      <c r="AA258" s="4"/>
      <c r="AB258" s="4"/>
    </row>
    <row r="259" spans="1:28" ht="13.5" customHeight="1">
      <c r="A259" s="4"/>
      <c r="B259" s="9"/>
      <c r="C259" s="9"/>
      <c r="D259" s="4"/>
      <c r="E259" s="4"/>
      <c r="F259" s="4"/>
      <c r="G259" s="4"/>
      <c r="H259" s="4"/>
      <c r="I259" s="4"/>
      <c r="J259" s="4"/>
      <c r="K259" s="4"/>
      <c r="L259" s="38"/>
      <c r="M259" s="4"/>
      <c r="N259" s="4"/>
      <c r="O259" s="4"/>
      <c r="P259" s="4"/>
      <c r="Q259" s="4"/>
      <c r="R259" s="4"/>
      <c r="S259" s="4"/>
      <c r="T259" s="4"/>
      <c r="U259" s="4"/>
      <c r="V259" s="4"/>
      <c r="W259" s="4"/>
      <c r="X259" s="4"/>
      <c r="Y259" s="4"/>
      <c r="Z259" s="4"/>
      <c r="AA259" s="4"/>
      <c r="AB259" s="4"/>
    </row>
    <row r="260" spans="1:28" ht="13.5" customHeight="1">
      <c r="A260" s="4"/>
      <c r="B260" s="9"/>
      <c r="C260" s="9"/>
      <c r="D260" s="4"/>
      <c r="E260" s="4"/>
      <c r="F260" s="4"/>
      <c r="G260" s="4"/>
      <c r="H260" s="4"/>
      <c r="I260" s="4"/>
      <c r="J260" s="4"/>
      <c r="K260" s="4"/>
      <c r="L260" s="38"/>
      <c r="M260" s="4"/>
      <c r="N260" s="4"/>
      <c r="O260" s="4"/>
      <c r="P260" s="4"/>
      <c r="Q260" s="4"/>
      <c r="R260" s="4"/>
      <c r="S260" s="4"/>
      <c r="T260" s="4"/>
      <c r="U260" s="4"/>
      <c r="V260" s="4"/>
      <c r="W260" s="4"/>
      <c r="X260" s="4"/>
      <c r="Y260" s="4"/>
      <c r="Z260" s="4"/>
      <c r="AA260" s="4"/>
      <c r="AB260" s="4"/>
    </row>
    <row r="261" spans="1:28" ht="13.5" customHeight="1">
      <c r="A261" s="4"/>
      <c r="B261" s="9"/>
      <c r="C261" s="9"/>
      <c r="D261" s="4"/>
      <c r="E261" s="4"/>
      <c r="F261" s="4"/>
      <c r="G261" s="4"/>
      <c r="H261" s="4"/>
      <c r="I261" s="4"/>
      <c r="J261" s="4"/>
      <c r="K261" s="4"/>
      <c r="L261" s="38"/>
      <c r="M261" s="4"/>
      <c r="N261" s="4"/>
      <c r="O261" s="4"/>
      <c r="P261" s="4"/>
      <c r="Q261" s="4"/>
      <c r="R261" s="4"/>
      <c r="S261" s="4"/>
      <c r="T261" s="4"/>
      <c r="U261" s="4"/>
      <c r="V261" s="4"/>
      <c r="W261" s="4"/>
      <c r="X261" s="4"/>
      <c r="Y261" s="4"/>
      <c r="Z261" s="4"/>
      <c r="AA261" s="4"/>
      <c r="AB261" s="4"/>
    </row>
    <row r="262" spans="1:28" ht="13.5" customHeight="1">
      <c r="A262" s="4"/>
      <c r="B262" s="9"/>
      <c r="C262" s="9"/>
      <c r="D262" s="4"/>
      <c r="E262" s="4"/>
      <c r="F262" s="4"/>
      <c r="G262" s="4"/>
      <c r="H262" s="4"/>
      <c r="I262" s="4"/>
      <c r="J262" s="4"/>
      <c r="K262" s="4"/>
      <c r="L262" s="38"/>
      <c r="M262" s="4"/>
      <c r="N262" s="4"/>
      <c r="O262" s="4"/>
      <c r="P262" s="4"/>
      <c r="Q262" s="4"/>
      <c r="R262" s="4"/>
      <c r="S262" s="4"/>
      <c r="T262" s="4"/>
      <c r="U262" s="4"/>
      <c r="V262" s="4"/>
      <c r="W262" s="4"/>
      <c r="X262" s="4"/>
      <c r="Y262" s="4"/>
      <c r="Z262" s="4"/>
      <c r="AA262" s="4"/>
      <c r="AB262" s="4"/>
    </row>
    <row r="263" spans="1:28" ht="13.5" customHeight="1">
      <c r="A263" s="4"/>
      <c r="B263" s="9"/>
      <c r="C263" s="9"/>
      <c r="D263" s="4"/>
      <c r="E263" s="4"/>
      <c r="F263" s="4"/>
      <c r="G263" s="4"/>
      <c r="H263" s="4"/>
      <c r="I263" s="4"/>
      <c r="J263" s="4"/>
      <c r="K263" s="4"/>
      <c r="L263" s="38"/>
      <c r="M263" s="4"/>
      <c r="N263" s="4"/>
      <c r="O263" s="4"/>
      <c r="P263" s="4"/>
      <c r="Q263" s="4"/>
      <c r="R263" s="4"/>
      <c r="S263" s="4"/>
      <c r="T263" s="4"/>
      <c r="U263" s="4"/>
      <c r="V263" s="4"/>
      <c r="W263" s="4"/>
      <c r="X263" s="4"/>
      <c r="Y263" s="4"/>
      <c r="Z263" s="4"/>
      <c r="AA263" s="4"/>
      <c r="AB263" s="4"/>
    </row>
    <row r="264" spans="1:28" ht="13.5" customHeight="1">
      <c r="A264" s="4"/>
      <c r="B264" s="9"/>
      <c r="C264" s="9"/>
      <c r="D264" s="4"/>
      <c r="E264" s="4"/>
      <c r="F264" s="4"/>
      <c r="G264" s="4"/>
      <c r="H264" s="4"/>
      <c r="I264" s="4"/>
      <c r="J264" s="4"/>
      <c r="K264" s="4"/>
      <c r="L264" s="38"/>
      <c r="M264" s="4"/>
      <c r="N264" s="4"/>
      <c r="O264" s="4"/>
      <c r="P264" s="4"/>
      <c r="Q264" s="4"/>
      <c r="R264" s="4"/>
      <c r="S264" s="4"/>
      <c r="T264" s="4"/>
      <c r="U264" s="4"/>
      <c r="V264" s="4"/>
      <c r="W264" s="4"/>
      <c r="X264" s="4"/>
      <c r="Y264" s="4"/>
      <c r="Z264" s="4"/>
      <c r="AA264" s="4"/>
      <c r="AB264" s="4"/>
    </row>
    <row r="265" spans="1:28" ht="13.5" customHeight="1">
      <c r="A265" s="4"/>
      <c r="B265" s="9"/>
      <c r="C265" s="9"/>
      <c r="D265" s="4"/>
      <c r="E265" s="4"/>
      <c r="F265" s="4"/>
      <c r="G265" s="4"/>
      <c r="H265" s="4"/>
      <c r="I265" s="4"/>
      <c r="J265" s="4"/>
      <c r="K265" s="4"/>
      <c r="L265" s="38"/>
      <c r="M265" s="4"/>
      <c r="N265" s="4"/>
      <c r="O265" s="4"/>
      <c r="P265" s="4"/>
      <c r="Q265" s="4"/>
      <c r="R265" s="4"/>
      <c r="S265" s="4"/>
      <c r="T265" s="4"/>
      <c r="U265" s="4"/>
      <c r="V265" s="4"/>
      <c r="W265" s="4"/>
      <c r="X265" s="4"/>
      <c r="Y265" s="4"/>
      <c r="Z265" s="4"/>
      <c r="AA265" s="4"/>
      <c r="AB265" s="4"/>
    </row>
    <row r="266" spans="1:28" ht="13.5" customHeight="1">
      <c r="A266" s="4"/>
      <c r="B266" s="9"/>
      <c r="C266" s="9"/>
      <c r="D266" s="4"/>
      <c r="E266" s="4"/>
      <c r="F266" s="4"/>
      <c r="G266" s="4"/>
      <c r="H266" s="4"/>
      <c r="I266" s="4"/>
      <c r="J266" s="4"/>
      <c r="K266" s="4"/>
      <c r="L266" s="38"/>
      <c r="M266" s="4"/>
      <c r="N266" s="4"/>
      <c r="O266" s="4"/>
      <c r="P266" s="4"/>
      <c r="Q266" s="4"/>
      <c r="R266" s="4"/>
      <c r="S266" s="4"/>
      <c r="T266" s="4"/>
      <c r="U266" s="4"/>
      <c r="V266" s="4"/>
      <c r="W266" s="4"/>
      <c r="X266" s="4"/>
      <c r="Y266" s="4"/>
      <c r="Z266" s="4"/>
      <c r="AA266" s="4"/>
      <c r="AB266" s="4"/>
    </row>
    <row r="267" spans="1:28" ht="13.5" customHeight="1">
      <c r="A267" s="4"/>
      <c r="B267" s="9"/>
      <c r="C267" s="9"/>
      <c r="D267" s="4"/>
      <c r="E267" s="4"/>
      <c r="F267" s="4"/>
      <c r="G267" s="4"/>
      <c r="H267" s="4"/>
      <c r="I267" s="4"/>
      <c r="J267" s="4"/>
      <c r="K267" s="4"/>
      <c r="L267" s="38"/>
      <c r="M267" s="4"/>
      <c r="N267" s="4"/>
      <c r="O267" s="4"/>
      <c r="P267" s="4"/>
      <c r="Q267" s="4"/>
      <c r="R267" s="4"/>
      <c r="S267" s="4"/>
      <c r="T267" s="4"/>
      <c r="U267" s="4"/>
      <c r="V267" s="4"/>
      <c r="W267" s="4"/>
      <c r="X267" s="4"/>
      <c r="Y267" s="4"/>
      <c r="Z267" s="4"/>
      <c r="AA267" s="4"/>
      <c r="AB267" s="4"/>
    </row>
    <row r="268" spans="1:28" ht="13.5" customHeight="1">
      <c r="A268" s="4"/>
      <c r="B268" s="9"/>
      <c r="C268" s="9"/>
      <c r="D268" s="4"/>
      <c r="E268" s="4"/>
      <c r="F268" s="4"/>
      <c r="G268" s="4"/>
      <c r="H268" s="4"/>
      <c r="I268" s="4"/>
      <c r="J268" s="4"/>
      <c r="K268" s="4"/>
      <c r="L268" s="38"/>
      <c r="M268" s="4"/>
      <c r="N268" s="4"/>
      <c r="O268" s="4"/>
      <c r="P268" s="4"/>
      <c r="Q268" s="4"/>
      <c r="R268" s="4"/>
      <c r="S268" s="4"/>
      <c r="T268" s="4"/>
      <c r="U268" s="4"/>
      <c r="V268" s="4"/>
      <c r="W268" s="4"/>
      <c r="X268" s="4"/>
      <c r="Y268" s="4"/>
      <c r="Z268" s="4"/>
      <c r="AA268" s="4"/>
      <c r="AB268" s="4"/>
    </row>
    <row r="269" spans="1:28" ht="13.5" customHeight="1">
      <c r="A269" s="4"/>
      <c r="B269" s="9"/>
      <c r="C269" s="9"/>
      <c r="D269" s="4"/>
      <c r="E269" s="4"/>
      <c r="F269" s="4"/>
      <c r="G269" s="4"/>
      <c r="H269" s="4"/>
      <c r="I269" s="4"/>
      <c r="J269" s="4"/>
      <c r="K269" s="4"/>
      <c r="L269" s="38"/>
      <c r="M269" s="4"/>
      <c r="N269" s="4"/>
      <c r="O269" s="4"/>
      <c r="P269" s="4"/>
      <c r="Q269" s="4"/>
      <c r="R269" s="4"/>
      <c r="S269" s="4"/>
      <c r="T269" s="4"/>
      <c r="U269" s="4"/>
      <c r="V269" s="4"/>
      <c r="W269" s="4"/>
      <c r="X269" s="4"/>
      <c r="Y269" s="4"/>
      <c r="Z269" s="4"/>
      <c r="AA269" s="4"/>
      <c r="AB269" s="4"/>
    </row>
    <row r="270" spans="1:28" ht="13.5" customHeight="1">
      <c r="A270" s="4"/>
      <c r="B270" s="9"/>
      <c r="C270" s="9"/>
      <c r="D270" s="4"/>
      <c r="E270" s="4"/>
      <c r="F270" s="4"/>
      <c r="G270" s="4"/>
      <c r="H270" s="4"/>
      <c r="I270" s="4"/>
      <c r="J270" s="4"/>
      <c r="K270" s="4"/>
      <c r="L270" s="38"/>
      <c r="M270" s="4"/>
      <c r="N270" s="4"/>
      <c r="O270" s="4"/>
      <c r="P270" s="4"/>
      <c r="Q270" s="4"/>
      <c r="R270" s="4"/>
      <c r="S270" s="4"/>
      <c r="T270" s="4"/>
      <c r="U270" s="4"/>
      <c r="V270" s="4"/>
      <c r="W270" s="4"/>
      <c r="X270" s="4"/>
      <c r="Y270" s="4"/>
      <c r="Z270" s="4"/>
      <c r="AA270" s="4"/>
      <c r="AB270" s="4"/>
    </row>
    <row r="271" spans="1:28" ht="13.5" customHeight="1">
      <c r="A271" s="4"/>
      <c r="B271" s="9"/>
      <c r="C271" s="9"/>
      <c r="D271" s="4"/>
      <c r="E271" s="4"/>
      <c r="F271" s="4"/>
      <c r="G271" s="4"/>
      <c r="H271" s="4"/>
      <c r="I271" s="4"/>
      <c r="J271" s="4"/>
      <c r="K271" s="4"/>
      <c r="L271" s="38"/>
      <c r="M271" s="4"/>
      <c r="N271" s="4"/>
      <c r="O271" s="4"/>
      <c r="P271" s="4"/>
      <c r="Q271" s="4"/>
      <c r="R271" s="4"/>
      <c r="S271" s="4"/>
      <c r="T271" s="4"/>
      <c r="U271" s="4"/>
      <c r="V271" s="4"/>
      <c r="W271" s="4"/>
      <c r="X271" s="4"/>
      <c r="Y271" s="4"/>
      <c r="Z271" s="4"/>
      <c r="AA271" s="4"/>
      <c r="AB271" s="4"/>
    </row>
    <row r="272" spans="1:28" ht="13.5" customHeight="1">
      <c r="A272" s="4"/>
      <c r="B272" s="9"/>
      <c r="C272" s="9"/>
      <c r="D272" s="4"/>
      <c r="E272" s="4"/>
      <c r="F272" s="4"/>
      <c r="G272" s="4"/>
      <c r="H272" s="4"/>
      <c r="I272" s="4"/>
      <c r="J272" s="4"/>
      <c r="K272" s="4"/>
      <c r="L272" s="38"/>
      <c r="M272" s="4"/>
      <c r="N272" s="4"/>
      <c r="O272" s="4"/>
      <c r="P272" s="4"/>
      <c r="Q272" s="4"/>
      <c r="R272" s="4"/>
      <c r="S272" s="4"/>
      <c r="T272" s="4"/>
      <c r="U272" s="4"/>
      <c r="V272" s="4"/>
      <c r="W272" s="4"/>
      <c r="X272" s="4"/>
      <c r="Y272" s="4"/>
      <c r="Z272" s="4"/>
      <c r="AA272" s="4"/>
      <c r="AB272" s="4"/>
    </row>
    <row r="273" spans="1:28" ht="13.5" customHeight="1">
      <c r="A273" s="4"/>
      <c r="B273" s="9"/>
      <c r="C273" s="9"/>
      <c r="D273" s="4"/>
      <c r="E273" s="4"/>
      <c r="F273" s="4"/>
      <c r="G273" s="4"/>
      <c r="H273" s="4"/>
      <c r="I273" s="4"/>
      <c r="J273" s="4"/>
      <c r="K273" s="4"/>
      <c r="L273" s="38"/>
      <c r="M273" s="4"/>
      <c r="N273" s="4"/>
      <c r="O273" s="4"/>
      <c r="P273" s="4"/>
      <c r="Q273" s="4"/>
      <c r="R273" s="4"/>
      <c r="S273" s="4"/>
      <c r="T273" s="4"/>
      <c r="U273" s="4"/>
      <c r="V273" s="4"/>
      <c r="W273" s="4"/>
      <c r="X273" s="4"/>
      <c r="Y273" s="4"/>
      <c r="Z273" s="4"/>
      <c r="AA273" s="4"/>
      <c r="AB273" s="4"/>
    </row>
    <row r="274" spans="1:28" ht="13.5" customHeight="1">
      <c r="A274" s="4"/>
      <c r="B274" s="9"/>
      <c r="C274" s="9"/>
      <c r="D274" s="4"/>
      <c r="E274" s="4"/>
      <c r="F274" s="4"/>
      <c r="G274" s="4"/>
      <c r="H274" s="4"/>
      <c r="I274" s="4"/>
      <c r="J274" s="4"/>
      <c r="K274" s="4"/>
      <c r="L274" s="38"/>
      <c r="M274" s="4"/>
      <c r="N274" s="4"/>
      <c r="O274" s="4"/>
      <c r="P274" s="4"/>
      <c r="Q274" s="4"/>
      <c r="R274" s="4"/>
      <c r="S274" s="4"/>
      <c r="T274" s="4"/>
      <c r="U274" s="4"/>
      <c r="V274" s="4"/>
      <c r="W274" s="4"/>
      <c r="X274" s="4"/>
      <c r="Y274" s="4"/>
      <c r="Z274" s="4"/>
      <c r="AA274" s="4"/>
      <c r="AB274" s="4"/>
    </row>
    <row r="275" spans="1:28" ht="13.5" customHeight="1">
      <c r="A275" s="4"/>
      <c r="B275" s="9"/>
      <c r="C275" s="9"/>
      <c r="D275" s="4"/>
      <c r="E275" s="4"/>
      <c r="F275" s="4"/>
      <c r="G275" s="4"/>
      <c r="H275" s="4"/>
      <c r="I275" s="4"/>
      <c r="J275" s="4"/>
      <c r="K275" s="4"/>
      <c r="L275" s="38"/>
      <c r="M275" s="4"/>
      <c r="N275" s="4"/>
      <c r="O275" s="4"/>
      <c r="P275" s="4"/>
      <c r="Q275" s="4"/>
      <c r="R275" s="4"/>
      <c r="S275" s="4"/>
      <c r="T275" s="4"/>
      <c r="U275" s="4"/>
      <c r="V275" s="4"/>
      <c r="W275" s="4"/>
      <c r="X275" s="4"/>
      <c r="Y275" s="4"/>
      <c r="Z275" s="4"/>
      <c r="AA275" s="4"/>
      <c r="AB275" s="4"/>
    </row>
    <row r="276" spans="1:28" ht="13.5" customHeight="1">
      <c r="A276" s="4"/>
      <c r="B276" s="9"/>
      <c r="C276" s="9"/>
      <c r="D276" s="4"/>
      <c r="E276" s="4"/>
      <c r="F276" s="4"/>
      <c r="G276" s="4"/>
      <c r="H276" s="4"/>
      <c r="I276" s="4"/>
      <c r="J276" s="4"/>
      <c r="K276" s="4"/>
      <c r="L276" s="38"/>
      <c r="M276" s="4"/>
      <c r="N276" s="4"/>
      <c r="O276" s="4"/>
      <c r="P276" s="4"/>
      <c r="Q276" s="4"/>
      <c r="R276" s="4"/>
      <c r="S276" s="4"/>
      <c r="T276" s="4"/>
      <c r="U276" s="4"/>
      <c r="V276" s="4"/>
      <c r="W276" s="4"/>
      <c r="X276" s="4"/>
      <c r="Y276" s="4"/>
      <c r="Z276" s="4"/>
      <c r="AA276" s="4"/>
      <c r="AB276" s="4"/>
    </row>
    <row r="277" spans="1:28" ht="13.5" customHeight="1">
      <c r="A277" s="4"/>
      <c r="B277" s="9"/>
      <c r="C277" s="9"/>
      <c r="D277" s="4"/>
      <c r="E277" s="4"/>
      <c r="F277" s="4"/>
      <c r="G277" s="4"/>
      <c r="H277" s="4"/>
      <c r="I277" s="4"/>
      <c r="J277" s="4"/>
      <c r="K277" s="4"/>
      <c r="L277" s="38"/>
      <c r="M277" s="4"/>
      <c r="N277" s="4"/>
      <c r="O277" s="4"/>
      <c r="P277" s="4"/>
      <c r="Q277" s="4"/>
      <c r="R277" s="4"/>
      <c r="S277" s="4"/>
      <c r="T277" s="4"/>
      <c r="U277" s="4"/>
      <c r="V277" s="4"/>
      <c r="W277" s="4"/>
      <c r="X277" s="4"/>
      <c r="Y277" s="4"/>
      <c r="Z277" s="4"/>
      <c r="AA277" s="4"/>
      <c r="AB277" s="4"/>
    </row>
    <row r="278" spans="1:28" ht="13.5" customHeight="1">
      <c r="A278" s="4"/>
      <c r="B278" s="9"/>
      <c r="C278" s="9"/>
      <c r="D278" s="4"/>
      <c r="E278" s="4"/>
      <c r="F278" s="4"/>
      <c r="G278" s="4"/>
      <c r="H278" s="4"/>
      <c r="I278" s="4"/>
      <c r="J278" s="4"/>
      <c r="K278" s="4"/>
      <c r="L278" s="38"/>
      <c r="M278" s="4"/>
      <c r="N278" s="4"/>
      <c r="O278" s="4"/>
      <c r="P278" s="4"/>
      <c r="Q278" s="4"/>
      <c r="R278" s="4"/>
      <c r="S278" s="4"/>
      <c r="T278" s="4"/>
      <c r="U278" s="4"/>
      <c r="V278" s="4"/>
      <c r="W278" s="4"/>
      <c r="X278" s="4"/>
      <c r="Y278" s="4"/>
      <c r="Z278" s="4"/>
      <c r="AA278" s="4"/>
      <c r="AB278" s="4"/>
    </row>
    <row r="279" spans="1:28" ht="13.5" customHeight="1">
      <c r="A279" s="4"/>
      <c r="B279" s="9"/>
      <c r="C279" s="9"/>
      <c r="D279" s="4"/>
      <c r="E279" s="4"/>
      <c r="F279" s="4"/>
      <c r="G279" s="4"/>
      <c r="H279" s="4"/>
      <c r="I279" s="4"/>
      <c r="J279" s="4"/>
      <c r="K279" s="4"/>
      <c r="L279" s="38"/>
      <c r="M279" s="4"/>
      <c r="N279" s="4"/>
      <c r="O279" s="4"/>
      <c r="P279" s="4"/>
      <c r="Q279" s="4"/>
      <c r="R279" s="4"/>
      <c r="S279" s="4"/>
      <c r="T279" s="4"/>
      <c r="U279" s="4"/>
      <c r="V279" s="4"/>
      <c r="W279" s="4"/>
      <c r="X279" s="4"/>
      <c r="Y279" s="4"/>
      <c r="Z279" s="4"/>
      <c r="AA279" s="4"/>
      <c r="AB279" s="4"/>
    </row>
    <row r="280" spans="1:28" ht="13.5" customHeight="1">
      <c r="A280" s="4"/>
      <c r="B280" s="9"/>
      <c r="C280" s="9"/>
      <c r="D280" s="4"/>
      <c r="E280" s="4"/>
      <c r="F280" s="4"/>
      <c r="G280" s="4"/>
      <c r="H280" s="4"/>
      <c r="I280" s="4"/>
      <c r="J280" s="4"/>
      <c r="K280" s="4"/>
      <c r="L280" s="38"/>
      <c r="M280" s="4"/>
      <c r="N280" s="4"/>
      <c r="O280" s="4"/>
      <c r="P280" s="4"/>
      <c r="Q280" s="4"/>
      <c r="R280" s="4"/>
      <c r="S280" s="4"/>
      <c r="T280" s="4"/>
      <c r="U280" s="4"/>
      <c r="V280" s="4"/>
      <c r="W280" s="4"/>
      <c r="X280" s="4"/>
      <c r="Y280" s="4"/>
      <c r="Z280" s="4"/>
      <c r="AA280" s="4"/>
      <c r="AB280" s="4"/>
    </row>
    <row r="281" spans="1:28" ht="13.5" customHeight="1">
      <c r="A281" s="4"/>
      <c r="B281" s="9"/>
      <c r="C281" s="9"/>
      <c r="D281" s="4"/>
      <c r="E281" s="4"/>
      <c r="F281" s="4"/>
      <c r="G281" s="4"/>
      <c r="H281" s="4"/>
      <c r="I281" s="4"/>
      <c r="J281" s="4"/>
      <c r="K281" s="4"/>
      <c r="L281" s="38"/>
      <c r="M281" s="4"/>
      <c r="N281" s="4"/>
      <c r="O281" s="4"/>
      <c r="P281" s="4"/>
      <c r="Q281" s="4"/>
      <c r="R281" s="4"/>
      <c r="S281" s="4"/>
      <c r="T281" s="4"/>
      <c r="U281" s="4"/>
      <c r="V281" s="4"/>
      <c r="W281" s="4"/>
      <c r="X281" s="4"/>
      <c r="Y281" s="4"/>
      <c r="Z281" s="4"/>
      <c r="AA281" s="4"/>
      <c r="AB281" s="4"/>
    </row>
    <row r="282" spans="1:28" ht="13.5" customHeight="1">
      <c r="A282" s="4"/>
      <c r="B282" s="9"/>
      <c r="C282" s="9"/>
      <c r="D282" s="4"/>
      <c r="E282" s="4"/>
      <c r="F282" s="4"/>
      <c r="G282" s="4"/>
      <c r="H282" s="4"/>
      <c r="I282" s="4"/>
      <c r="J282" s="4"/>
      <c r="K282" s="4"/>
      <c r="L282" s="38"/>
      <c r="M282" s="4"/>
      <c r="N282" s="4"/>
      <c r="O282" s="4"/>
      <c r="P282" s="4"/>
      <c r="Q282" s="4"/>
      <c r="R282" s="4"/>
      <c r="S282" s="4"/>
      <c r="T282" s="4"/>
      <c r="U282" s="4"/>
      <c r="V282" s="4"/>
      <c r="W282" s="4"/>
      <c r="X282" s="4"/>
      <c r="Y282" s="4"/>
      <c r="Z282" s="4"/>
      <c r="AA282" s="4"/>
      <c r="AB282" s="4"/>
    </row>
    <row r="283" spans="1:28" ht="13.5" customHeight="1">
      <c r="A283" s="4"/>
      <c r="B283" s="9"/>
      <c r="C283" s="9"/>
      <c r="D283" s="4"/>
      <c r="E283" s="4"/>
      <c r="F283" s="4"/>
      <c r="G283" s="4"/>
      <c r="H283" s="4"/>
      <c r="I283" s="4"/>
      <c r="J283" s="4"/>
      <c r="K283" s="4"/>
      <c r="L283" s="38"/>
      <c r="M283" s="4"/>
      <c r="N283" s="4"/>
      <c r="O283" s="4"/>
      <c r="P283" s="4"/>
      <c r="Q283" s="4"/>
      <c r="R283" s="4"/>
      <c r="S283" s="4"/>
      <c r="T283" s="4"/>
      <c r="U283" s="4"/>
      <c r="V283" s="4"/>
      <c r="W283" s="4"/>
      <c r="X283" s="4"/>
      <c r="Y283" s="4"/>
      <c r="Z283" s="4"/>
      <c r="AA283" s="4"/>
      <c r="AB283" s="4"/>
    </row>
    <row r="284" spans="1:28" ht="13.5" customHeight="1">
      <c r="A284" s="4"/>
      <c r="B284" s="9"/>
      <c r="C284" s="9"/>
      <c r="D284" s="4"/>
      <c r="E284" s="4"/>
      <c r="F284" s="4"/>
      <c r="G284" s="4"/>
      <c r="H284" s="4"/>
      <c r="I284" s="4"/>
      <c r="J284" s="4"/>
      <c r="K284" s="4"/>
      <c r="L284" s="38"/>
      <c r="M284" s="4"/>
      <c r="N284" s="4"/>
      <c r="O284" s="4"/>
      <c r="P284" s="4"/>
      <c r="Q284" s="4"/>
      <c r="R284" s="4"/>
      <c r="S284" s="4"/>
      <c r="T284" s="4"/>
      <c r="U284" s="4"/>
      <c r="V284" s="4"/>
      <c r="W284" s="4"/>
      <c r="X284" s="4"/>
      <c r="Y284" s="4"/>
      <c r="Z284" s="4"/>
      <c r="AA284" s="4"/>
      <c r="AB284" s="4"/>
    </row>
    <row r="285" spans="1:28" ht="13.5" customHeight="1">
      <c r="A285" s="4"/>
      <c r="B285" s="9"/>
      <c r="C285" s="9"/>
      <c r="D285" s="4"/>
      <c r="E285" s="4"/>
      <c r="F285" s="4"/>
      <c r="G285" s="4"/>
      <c r="H285" s="4"/>
      <c r="I285" s="4"/>
      <c r="J285" s="4"/>
      <c r="K285" s="4"/>
      <c r="L285" s="38"/>
      <c r="M285" s="4"/>
      <c r="N285" s="4"/>
      <c r="O285" s="4"/>
      <c r="P285" s="4"/>
      <c r="Q285" s="4"/>
      <c r="R285" s="4"/>
      <c r="S285" s="4"/>
      <c r="T285" s="4"/>
      <c r="U285" s="4"/>
      <c r="V285" s="4"/>
      <c r="W285" s="4"/>
      <c r="X285" s="4"/>
      <c r="Y285" s="4"/>
      <c r="Z285" s="4"/>
      <c r="AA285" s="4"/>
      <c r="AB285" s="4"/>
    </row>
    <row r="286" spans="1:28" ht="13.5" customHeight="1">
      <c r="A286" s="4"/>
      <c r="B286" s="9"/>
      <c r="C286" s="9"/>
      <c r="D286" s="4"/>
      <c r="E286" s="4"/>
      <c r="F286" s="4"/>
      <c r="G286" s="4"/>
      <c r="H286" s="4"/>
      <c r="I286" s="4"/>
      <c r="J286" s="4"/>
      <c r="K286" s="4"/>
      <c r="L286" s="38"/>
      <c r="M286" s="4"/>
      <c r="N286" s="4"/>
      <c r="O286" s="4"/>
      <c r="P286" s="4"/>
      <c r="Q286" s="4"/>
      <c r="R286" s="4"/>
      <c r="S286" s="4"/>
      <c r="T286" s="4"/>
      <c r="U286" s="4"/>
      <c r="V286" s="4"/>
      <c r="W286" s="4"/>
      <c r="X286" s="4"/>
      <c r="Y286" s="4"/>
      <c r="Z286" s="4"/>
      <c r="AA286" s="4"/>
      <c r="AB286" s="4"/>
    </row>
    <row r="287" spans="1:28" ht="13.5" customHeight="1">
      <c r="A287" s="4"/>
      <c r="B287" s="9"/>
      <c r="C287" s="9"/>
      <c r="D287" s="4"/>
      <c r="E287" s="4"/>
      <c r="F287" s="4"/>
      <c r="G287" s="4"/>
      <c r="H287" s="4"/>
      <c r="I287" s="4"/>
      <c r="J287" s="4"/>
      <c r="K287" s="4"/>
      <c r="L287" s="38"/>
      <c r="M287" s="4"/>
      <c r="N287" s="4"/>
      <c r="O287" s="4"/>
      <c r="P287" s="4"/>
      <c r="Q287" s="4"/>
      <c r="R287" s="4"/>
      <c r="S287" s="4"/>
      <c r="T287" s="4"/>
      <c r="U287" s="4"/>
      <c r="V287" s="4"/>
      <c r="W287" s="4"/>
      <c r="X287" s="4"/>
      <c r="Y287" s="4"/>
      <c r="Z287" s="4"/>
      <c r="AA287" s="4"/>
      <c r="AB287" s="4"/>
    </row>
    <row r="288" spans="1:28" ht="13.5" customHeight="1">
      <c r="A288" s="4"/>
      <c r="B288" s="9"/>
      <c r="C288" s="9"/>
      <c r="D288" s="4"/>
      <c r="E288" s="4"/>
      <c r="F288" s="4"/>
      <c r="G288" s="4"/>
      <c r="H288" s="4"/>
      <c r="I288" s="4"/>
      <c r="J288" s="4"/>
      <c r="K288" s="4"/>
      <c r="L288" s="38"/>
      <c r="M288" s="4"/>
      <c r="N288" s="4"/>
      <c r="O288" s="4"/>
      <c r="P288" s="4"/>
      <c r="Q288" s="4"/>
      <c r="R288" s="4"/>
      <c r="S288" s="4"/>
      <c r="T288" s="4"/>
      <c r="U288" s="4"/>
      <c r="V288" s="4"/>
      <c r="W288" s="4"/>
      <c r="X288" s="4"/>
      <c r="Y288" s="4"/>
      <c r="Z288" s="4"/>
      <c r="AA288" s="4"/>
      <c r="AB288" s="4"/>
    </row>
    <row r="289" spans="1:28" ht="13.5" customHeight="1">
      <c r="A289" s="4"/>
      <c r="B289" s="9"/>
      <c r="C289" s="9"/>
      <c r="D289" s="4"/>
      <c r="E289" s="4"/>
      <c r="F289" s="4"/>
      <c r="G289" s="4"/>
      <c r="H289" s="4"/>
      <c r="I289" s="4"/>
      <c r="J289" s="4"/>
      <c r="K289" s="4"/>
      <c r="L289" s="38"/>
      <c r="M289" s="4"/>
      <c r="N289" s="4"/>
      <c r="O289" s="4"/>
      <c r="P289" s="4"/>
      <c r="Q289" s="4"/>
      <c r="R289" s="4"/>
      <c r="S289" s="4"/>
      <c r="T289" s="4"/>
      <c r="U289" s="4"/>
      <c r="V289" s="4"/>
      <c r="W289" s="4"/>
      <c r="X289" s="4"/>
      <c r="Y289" s="4"/>
      <c r="Z289" s="4"/>
      <c r="AA289" s="4"/>
      <c r="AB289" s="4"/>
    </row>
    <row r="290" spans="1:28" ht="13.5" customHeight="1">
      <c r="A290" s="4"/>
      <c r="B290" s="9"/>
      <c r="C290" s="9"/>
      <c r="D290" s="4"/>
      <c r="E290" s="4"/>
      <c r="F290" s="4"/>
      <c r="G290" s="4"/>
      <c r="H290" s="4"/>
      <c r="I290" s="4"/>
      <c r="J290" s="4"/>
      <c r="K290" s="4"/>
      <c r="L290" s="38"/>
      <c r="M290" s="4"/>
      <c r="N290" s="4"/>
      <c r="O290" s="4"/>
      <c r="P290" s="4"/>
      <c r="Q290" s="4"/>
      <c r="R290" s="4"/>
      <c r="S290" s="4"/>
      <c r="T290" s="4"/>
      <c r="U290" s="4"/>
      <c r="V290" s="4"/>
      <c r="W290" s="4"/>
      <c r="X290" s="4"/>
      <c r="Y290" s="4"/>
      <c r="Z290" s="4"/>
      <c r="AA290" s="4"/>
      <c r="AB290" s="4"/>
    </row>
    <row r="291" spans="1:28" ht="13.5" customHeight="1">
      <c r="A291" s="4"/>
      <c r="B291" s="9"/>
      <c r="C291" s="9"/>
      <c r="D291" s="4"/>
      <c r="E291" s="4"/>
      <c r="F291" s="4"/>
      <c r="G291" s="4"/>
      <c r="H291" s="4"/>
      <c r="I291" s="4"/>
      <c r="J291" s="4"/>
      <c r="K291" s="4"/>
      <c r="L291" s="38"/>
      <c r="M291" s="4"/>
      <c r="N291" s="4"/>
      <c r="O291" s="4"/>
      <c r="P291" s="4"/>
      <c r="Q291" s="4"/>
      <c r="R291" s="4"/>
      <c r="S291" s="4"/>
      <c r="T291" s="4"/>
      <c r="U291" s="4"/>
      <c r="V291" s="4"/>
      <c r="W291" s="4"/>
      <c r="X291" s="4"/>
      <c r="Y291" s="4"/>
      <c r="Z291" s="4"/>
      <c r="AA291" s="4"/>
      <c r="AB291" s="4"/>
    </row>
    <row r="292" spans="1:28" ht="13.5" customHeight="1">
      <c r="A292" s="4"/>
      <c r="B292" s="9"/>
      <c r="C292" s="9"/>
      <c r="D292" s="4"/>
      <c r="E292" s="4"/>
      <c r="F292" s="4"/>
      <c r="G292" s="4"/>
      <c r="H292" s="4"/>
      <c r="I292" s="4"/>
      <c r="J292" s="4"/>
      <c r="K292" s="4"/>
      <c r="L292" s="38"/>
      <c r="M292" s="4"/>
      <c r="N292" s="4"/>
      <c r="O292" s="4"/>
      <c r="P292" s="4"/>
      <c r="Q292" s="4"/>
      <c r="R292" s="4"/>
      <c r="S292" s="4"/>
      <c r="T292" s="4"/>
      <c r="U292" s="4"/>
      <c r="V292" s="4"/>
      <c r="W292" s="4"/>
      <c r="X292" s="4"/>
      <c r="Y292" s="4"/>
      <c r="Z292" s="4"/>
      <c r="AA292" s="4"/>
      <c r="AB292" s="4"/>
    </row>
    <row r="293" spans="1:28" ht="13.5" customHeight="1">
      <c r="A293" s="4"/>
      <c r="B293" s="9"/>
      <c r="C293" s="9"/>
      <c r="D293" s="4"/>
      <c r="E293" s="4"/>
      <c r="F293" s="4"/>
      <c r="G293" s="4"/>
      <c r="H293" s="4"/>
      <c r="I293" s="4"/>
      <c r="J293" s="4"/>
      <c r="K293" s="4"/>
      <c r="L293" s="38"/>
      <c r="M293" s="4"/>
      <c r="N293" s="4"/>
      <c r="O293" s="4"/>
      <c r="P293" s="4"/>
      <c r="Q293" s="4"/>
      <c r="R293" s="4"/>
      <c r="S293" s="4"/>
      <c r="T293" s="4"/>
      <c r="U293" s="4"/>
      <c r="V293" s="4"/>
      <c r="W293" s="4"/>
      <c r="X293" s="4"/>
      <c r="Y293" s="4"/>
      <c r="Z293" s="4"/>
      <c r="AA293" s="4"/>
      <c r="AB293" s="4"/>
    </row>
    <row r="294" spans="1:28" ht="13.5" customHeight="1">
      <c r="A294" s="4"/>
      <c r="B294" s="9"/>
      <c r="C294" s="9"/>
      <c r="D294" s="4"/>
      <c r="E294" s="4"/>
      <c r="F294" s="4"/>
      <c r="G294" s="4"/>
      <c r="H294" s="4"/>
      <c r="I294" s="4"/>
      <c r="J294" s="4"/>
      <c r="K294" s="4"/>
      <c r="L294" s="38"/>
      <c r="M294" s="4"/>
      <c r="N294" s="4"/>
      <c r="O294" s="4"/>
      <c r="P294" s="4"/>
      <c r="Q294" s="4"/>
      <c r="R294" s="4"/>
      <c r="S294" s="4"/>
      <c r="T294" s="4"/>
      <c r="U294" s="4"/>
      <c r="V294" s="4"/>
      <c r="W294" s="4"/>
      <c r="X294" s="4"/>
      <c r="Y294" s="4"/>
      <c r="Z294" s="4"/>
      <c r="AA294" s="4"/>
      <c r="AB294" s="4"/>
    </row>
    <row r="295" spans="1:28" ht="13.5" customHeight="1">
      <c r="A295" s="4"/>
      <c r="B295" s="9"/>
      <c r="C295" s="9"/>
      <c r="D295" s="4"/>
      <c r="E295" s="4"/>
      <c r="F295" s="4"/>
      <c r="G295" s="4"/>
      <c r="H295" s="4"/>
      <c r="I295" s="4"/>
      <c r="J295" s="4"/>
      <c r="K295" s="4"/>
      <c r="L295" s="38"/>
      <c r="M295" s="4"/>
      <c r="N295" s="4"/>
      <c r="O295" s="4"/>
      <c r="P295" s="4"/>
      <c r="Q295" s="4"/>
      <c r="R295" s="4"/>
      <c r="S295" s="4"/>
      <c r="T295" s="4"/>
      <c r="U295" s="4"/>
      <c r="V295" s="4"/>
      <c r="W295" s="4"/>
      <c r="X295" s="4"/>
      <c r="Y295" s="4"/>
      <c r="Z295" s="4"/>
      <c r="AA295" s="4"/>
      <c r="AB295" s="4"/>
    </row>
    <row r="296" spans="1:28" ht="13.5" customHeight="1">
      <c r="A296" s="4"/>
      <c r="B296" s="9"/>
      <c r="C296" s="9"/>
      <c r="D296" s="4"/>
      <c r="E296" s="4"/>
      <c r="F296" s="4"/>
      <c r="G296" s="4"/>
      <c r="H296" s="4"/>
      <c r="I296" s="4"/>
      <c r="J296" s="4"/>
      <c r="K296" s="4"/>
      <c r="L296" s="38"/>
      <c r="M296" s="4"/>
      <c r="N296" s="4"/>
      <c r="O296" s="4"/>
      <c r="P296" s="4"/>
      <c r="Q296" s="4"/>
      <c r="R296" s="4"/>
      <c r="S296" s="4"/>
      <c r="T296" s="4"/>
      <c r="U296" s="4"/>
      <c r="V296" s="4"/>
      <c r="W296" s="4"/>
      <c r="X296" s="4"/>
      <c r="Y296" s="4"/>
      <c r="Z296" s="4"/>
      <c r="AA296" s="4"/>
      <c r="AB296" s="4"/>
    </row>
    <row r="297" spans="1:28" ht="13.5" customHeight="1">
      <c r="A297" s="4"/>
      <c r="B297" s="9"/>
      <c r="C297" s="9"/>
      <c r="D297" s="4"/>
      <c r="E297" s="4"/>
      <c r="F297" s="4"/>
      <c r="G297" s="4"/>
      <c r="H297" s="4"/>
      <c r="I297" s="4"/>
      <c r="J297" s="4"/>
      <c r="K297" s="4"/>
      <c r="L297" s="38"/>
      <c r="M297" s="4"/>
      <c r="N297" s="4"/>
      <c r="O297" s="4"/>
      <c r="P297" s="4"/>
      <c r="Q297" s="4"/>
      <c r="R297" s="4"/>
      <c r="S297" s="4"/>
      <c r="T297" s="4"/>
      <c r="U297" s="4"/>
      <c r="V297" s="4"/>
      <c r="W297" s="4"/>
      <c r="X297" s="4"/>
      <c r="Y297" s="4"/>
      <c r="Z297" s="4"/>
      <c r="AA297" s="4"/>
      <c r="AB297" s="4"/>
    </row>
    <row r="298" spans="1:28" ht="13.5" customHeight="1">
      <c r="A298" s="4"/>
      <c r="B298" s="9"/>
      <c r="C298" s="9"/>
      <c r="D298" s="4"/>
      <c r="E298" s="4"/>
      <c r="F298" s="4"/>
      <c r="G298" s="4"/>
      <c r="H298" s="4"/>
      <c r="I298" s="4"/>
      <c r="J298" s="4"/>
      <c r="K298" s="4"/>
      <c r="L298" s="38"/>
      <c r="M298" s="4"/>
      <c r="N298" s="4"/>
      <c r="O298" s="4"/>
      <c r="P298" s="4"/>
      <c r="Q298" s="4"/>
      <c r="R298" s="4"/>
      <c r="S298" s="4"/>
      <c r="T298" s="4"/>
      <c r="U298" s="4"/>
      <c r="V298" s="4"/>
      <c r="W298" s="4"/>
      <c r="X298" s="4"/>
      <c r="Y298" s="4"/>
      <c r="Z298" s="4"/>
      <c r="AA298" s="4"/>
      <c r="AB298" s="4"/>
    </row>
    <row r="299" spans="1:28" ht="13.5" customHeight="1">
      <c r="A299" s="4"/>
      <c r="B299" s="9"/>
      <c r="C299" s="9"/>
      <c r="D299" s="4"/>
      <c r="E299" s="4"/>
      <c r="F299" s="4"/>
      <c r="G299" s="4"/>
      <c r="H299" s="4"/>
      <c r="I299" s="4"/>
      <c r="J299" s="4"/>
      <c r="K299" s="4"/>
      <c r="L299" s="38"/>
      <c r="M299" s="4"/>
      <c r="N299" s="4"/>
      <c r="O299" s="4"/>
      <c r="P299" s="4"/>
      <c r="Q299" s="4"/>
      <c r="R299" s="4"/>
      <c r="S299" s="4"/>
      <c r="T299" s="4"/>
      <c r="U299" s="4"/>
      <c r="V299" s="4"/>
      <c r="W299" s="4"/>
      <c r="X299" s="4"/>
      <c r="Y299" s="4"/>
      <c r="Z299" s="4"/>
      <c r="AA299" s="4"/>
      <c r="AB299" s="4"/>
    </row>
    <row r="300" spans="1:28" ht="13.5" customHeight="1">
      <c r="A300" s="4"/>
      <c r="B300" s="9"/>
      <c r="C300" s="9"/>
      <c r="D300" s="4"/>
      <c r="E300" s="4"/>
      <c r="F300" s="4"/>
      <c r="G300" s="4"/>
      <c r="H300" s="4"/>
      <c r="I300" s="4"/>
      <c r="J300" s="4"/>
      <c r="K300" s="4"/>
      <c r="L300" s="38"/>
      <c r="M300" s="4"/>
      <c r="N300" s="4"/>
      <c r="O300" s="4"/>
      <c r="P300" s="4"/>
      <c r="Q300" s="4"/>
      <c r="R300" s="4"/>
      <c r="S300" s="4"/>
      <c r="T300" s="4"/>
      <c r="U300" s="4"/>
      <c r="V300" s="4"/>
      <c r="W300" s="4"/>
      <c r="X300" s="4"/>
      <c r="Y300" s="4"/>
      <c r="Z300" s="4"/>
      <c r="AA300" s="4"/>
      <c r="AB300" s="4"/>
    </row>
    <row r="301" spans="1:28" ht="13.5" customHeight="1">
      <c r="A301" s="4"/>
      <c r="B301" s="9"/>
      <c r="C301" s="9"/>
      <c r="D301" s="4"/>
      <c r="E301" s="4"/>
      <c r="F301" s="4"/>
      <c r="G301" s="4"/>
      <c r="H301" s="4"/>
      <c r="I301" s="4"/>
      <c r="J301" s="4"/>
      <c r="K301" s="4"/>
      <c r="L301" s="38"/>
      <c r="M301" s="4"/>
      <c r="N301" s="4"/>
      <c r="O301" s="4"/>
      <c r="P301" s="4"/>
      <c r="Q301" s="4"/>
      <c r="R301" s="4"/>
      <c r="S301" s="4"/>
      <c r="T301" s="4"/>
      <c r="U301" s="4"/>
      <c r="V301" s="4"/>
      <c r="W301" s="4"/>
      <c r="X301" s="4"/>
      <c r="Y301" s="4"/>
      <c r="Z301" s="4"/>
      <c r="AA301" s="4"/>
      <c r="AB301" s="4"/>
    </row>
    <row r="302" spans="1:28" ht="13.5" customHeight="1">
      <c r="A302" s="4"/>
      <c r="B302" s="9"/>
      <c r="C302" s="9"/>
      <c r="D302" s="4"/>
      <c r="E302" s="4"/>
      <c r="F302" s="4"/>
      <c r="G302" s="4"/>
      <c r="H302" s="4"/>
      <c r="I302" s="4"/>
      <c r="J302" s="4"/>
      <c r="K302" s="4"/>
      <c r="L302" s="38"/>
      <c r="M302" s="4"/>
      <c r="N302" s="4"/>
      <c r="O302" s="4"/>
      <c r="P302" s="4"/>
      <c r="Q302" s="4"/>
      <c r="R302" s="4"/>
      <c r="S302" s="4"/>
      <c r="T302" s="4"/>
      <c r="U302" s="4"/>
      <c r="V302" s="4"/>
      <c r="W302" s="4"/>
      <c r="X302" s="4"/>
      <c r="Y302" s="4"/>
      <c r="Z302" s="4"/>
      <c r="AA302" s="4"/>
      <c r="AB302" s="4"/>
    </row>
    <row r="303" spans="1:28" ht="13.5" customHeight="1">
      <c r="A303" s="4"/>
      <c r="B303" s="9"/>
      <c r="C303" s="9"/>
      <c r="D303" s="4"/>
      <c r="E303" s="4"/>
      <c r="F303" s="4"/>
      <c r="G303" s="4"/>
      <c r="H303" s="4"/>
      <c r="I303" s="4"/>
      <c r="J303" s="4"/>
      <c r="K303" s="4"/>
      <c r="L303" s="38"/>
      <c r="M303" s="4"/>
      <c r="N303" s="4"/>
      <c r="O303" s="4"/>
      <c r="P303" s="4"/>
      <c r="Q303" s="4"/>
      <c r="R303" s="4"/>
      <c r="S303" s="4"/>
      <c r="T303" s="4"/>
      <c r="U303" s="4"/>
      <c r="V303" s="4"/>
      <c r="W303" s="4"/>
      <c r="X303" s="4"/>
      <c r="Y303" s="4"/>
      <c r="Z303" s="4"/>
      <c r="AA303" s="4"/>
      <c r="AB303" s="4"/>
    </row>
    <row r="304" spans="1:28" ht="13.5" customHeight="1">
      <c r="A304" s="4"/>
      <c r="B304" s="9"/>
      <c r="C304" s="9"/>
      <c r="D304" s="4"/>
      <c r="E304" s="4"/>
      <c r="F304" s="4"/>
      <c r="G304" s="4"/>
      <c r="H304" s="4"/>
      <c r="I304" s="4"/>
      <c r="J304" s="4"/>
      <c r="K304" s="4"/>
      <c r="L304" s="38"/>
      <c r="M304" s="4"/>
      <c r="N304" s="4"/>
      <c r="O304" s="4"/>
      <c r="P304" s="4"/>
      <c r="Q304" s="4"/>
      <c r="R304" s="4"/>
      <c r="S304" s="4"/>
      <c r="T304" s="4"/>
      <c r="U304" s="4"/>
      <c r="V304" s="4"/>
      <c r="W304" s="4"/>
      <c r="X304" s="4"/>
      <c r="Y304" s="4"/>
      <c r="Z304" s="4"/>
      <c r="AA304" s="4"/>
      <c r="AB304" s="4"/>
    </row>
    <row r="305" spans="1:28" ht="13.5" customHeight="1">
      <c r="A305" s="4"/>
      <c r="B305" s="9"/>
      <c r="C305" s="9"/>
      <c r="D305" s="4"/>
      <c r="E305" s="4"/>
      <c r="F305" s="4"/>
      <c r="G305" s="4"/>
      <c r="H305" s="4"/>
      <c r="I305" s="4"/>
      <c r="J305" s="4"/>
      <c r="K305" s="4"/>
      <c r="L305" s="38"/>
      <c r="M305" s="4"/>
      <c r="N305" s="4"/>
      <c r="O305" s="4"/>
      <c r="P305" s="4"/>
      <c r="Q305" s="4"/>
      <c r="R305" s="4"/>
      <c r="S305" s="4"/>
      <c r="T305" s="4"/>
      <c r="U305" s="4"/>
      <c r="V305" s="4"/>
      <c r="W305" s="4"/>
      <c r="X305" s="4"/>
      <c r="Y305" s="4"/>
      <c r="Z305" s="4"/>
      <c r="AA305" s="4"/>
      <c r="AB305" s="4"/>
    </row>
    <row r="306" spans="1:28" ht="13.5" customHeight="1">
      <c r="A306" s="4"/>
      <c r="B306" s="9"/>
      <c r="C306" s="9"/>
      <c r="D306" s="4"/>
      <c r="E306" s="4"/>
      <c r="F306" s="4"/>
      <c r="G306" s="4"/>
      <c r="H306" s="4"/>
      <c r="I306" s="4"/>
      <c r="J306" s="4"/>
      <c r="K306" s="4"/>
      <c r="L306" s="38"/>
      <c r="M306" s="4"/>
      <c r="N306" s="4"/>
      <c r="O306" s="4"/>
      <c r="P306" s="4"/>
      <c r="Q306" s="4"/>
      <c r="R306" s="4"/>
      <c r="S306" s="4"/>
      <c r="T306" s="4"/>
      <c r="U306" s="4"/>
      <c r="V306" s="4"/>
      <c r="W306" s="4"/>
      <c r="X306" s="4"/>
      <c r="Y306" s="4"/>
      <c r="Z306" s="4"/>
      <c r="AA306" s="4"/>
      <c r="AB306" s="4"/>
    </row>
    <row r="307" spans="1:28" ht="13.5" customHeight="1">
      <c r="A307" s="4"/>
      <c r="B307" s="9"/>
      <c r="C307" s="9"/>
      <c r="D307" s="4"/>
      <c r="E307" s="4"/>
      <c r="F307" s="4"/>
      <c r="G307" s="4"/>
      <c r="H307" s="4"/>
      <c r="I307" s="4"/>
      <c r="J307" s="4"/>
      <c r="K307" s="4"/>
      <c r="L307" s="38"/>
      <c r="M307" s="4"/>
      <c r="N307" s="4"/>
      <c r="O307" s="4"/>
      <c r="P307" s="4"/>
      <c r="Q307" s="4"/>
      <c r="R307" s="4"/>
      <c r="S307" s="4"/>
      <c r="T307" s="4"/>
      <c r="U307" s="4"/>
      <c r="V307" s="4"/>
      <c r="W307" s="4"/>
      <c r="X307" s="4"/>
      <c r="Y307" s="4"/>
      <c r="Z307" s="4"/>
      <c r="AA307" s="4"/>
      <c r="AB307" s="4"/>
    </row>
    <row r="308" spans="1:28" ht="13.5" customHeight="1">
      <c r="A308" s="4"/>
      <c r="B308" s="9"/>
      <c r="C308" s="9"/>
      <c r="D308" s="4"/>
      <c r="E308" s="4"/>
      <c r="F308" s="4"/>
      <c r="G308" s="4"/>
      <c r="H308" s="4"/>
      <c r="I308" s="4"/>
      <c r="J308" s="4"/>
      <c r="K308" s="4"/>
      <c r="L308" s="38"/>
      <c r="M308" s="4"/>
      <c r="N308" s="4"/>
      <c r="O308" s="4"/>
      <c r="P308" s="4"/>
      <c r="Q308" s="4"/>
      <c r="R308" s="4"/>
      <c r="S308" s="4"/>
      <c r="T308" s="4"/>
      <c r="U308" s="4"/>
      <c r="V308" s="4"/>
      <c r="W308" s="4"/>
      <c r="X308" s="4"/>
      <c r="Y308" s="4"/>
      <c r="Z308" s="4"/>
      <c r="AA308" s="4"/>
      <c r="AB308" s="4"/>
    </row>
    <row r="309" spans="1:28" ht="13.5" customHeight="1">
      <c r="A309" s="4"/>
      <c r="B309" s="9"/>
      <c r="C309" s="9"/>
      <c r="D309" s="4"/>
      <c r="E309" s="4"/>
      <c r="F309" s="4"/>
      <c r="G309" s="4"/>
      <c r="H309" s="4"/>
      <c r="I309" s="4"/>
      <c r="J309" s="4"/>
      <c r="K309" s="4"/>
      <c r="L309" s="38"/>
      <c r="M309" s="4"/>
      <c r="N309" s="4"/>
      <c r="O309" s="4"/>
      <c r="P309" s="4"/>
      <c r="Q309" s="4"/>
      <c r="R309" s="4"/>
      <c r="S309" s="4"/>
      <c r="T309" s="4"/>
      <c r="U309" s="4"/>
      <c r="V309" s="4"/>
      <c r="W309" s="4"/>
      <c r="X309" s="4"/>
      <c r="Y309" s="4"/>
      <c r="Z309" s="4"/>
      <c r="AA309" s="4"/>
      <c r="AB309" s="4"/>
    </row>
    <row r="310" spans="1:28" ht="13.5" customHeight="1">
      <c r="A310" s="4"/>
      <c r="B310" s="9"/>
      <c r="C310" s="9"/>
      <c r="D310" s="4"/>
      <c r="E310" s="4"/>
      <c r="F310" s="4"/>
      <c r="G310" s="4"/>
      <c r="H310" s="4"/>
      <c r="I310" s="4"/>
      <c r="J310" s="4"/>
      <c r="K310" s="4"/>
      <c r="L310" s="38"/>
      <c r="M310" s="4"/>
      <c r="N310" s="4"/>
      <c r="O310" s="4"/>
      <c r="P310" s="4"/>
      <c r="Q310" s="4"/>
      <c r="R310" s="4"/>
      <c r="S310" s="4"/>
      <c r="T310" s="4"/>
      <c r="U310" s="4"/>
      <c r="V310" s="4"/>
      <c r="W310" s="4"/>
      <c r="X310" s="4"/>
      <c r="Y310" s="4"/>
      <c r="Z310" s="4"/>
      <c r="AA310" s="4"/>
      <c r="AB310" s="4"/>
    </row>
    <row r="311" spans="1:28" ht="13.5" customHeight="1">
      <c r="A311" s="4"/>
      <c r="B311" s="9"/>
      <c r="C311" s="9"/>
      <c r="D311" s="4"/>
      <c r="E311" s="4"/>
      <c r="F311" s="4"/>
      <c r="G311" s="4"/>
      <c r="H311" s="4"/>
      <c r="I311" s="4"/>
      <c r="J311" s="4"/>
      <c r="K311" s="4"/>
      <c r="L311" s="38"/>
      <c r="M311" s="4"/>
      <c r="N311" s="4"/>
      <c r="O311" s="4"/>
      <c r="P311" s="4"/>
      <c r="Q311" s="4"/>
      <c r="R311" s="4"/>
      <c r="S311" s="4"/>
      <c r="T311" s="4"/>
      <c r="U311" s="4"/>
      <c r="V311" s="4"/>
      <c r="W311" s="4"/>
      <c r="X311" s="4"/>
      <c r="Y311" s="4"/>
      <c r="Z311" s="4"/>
      <c r="AA311" s="4"/>
      <c r="AB311" s="4"/>
    </row>
    <row r="312" spans="1:28" ht="13.5" customHeight="1">
      <c r="A312" s="4"/>
      <c r="B312" s="9"/>
      <c r="C312" s="9"/>
      <c r="D312" s="4"/>
      <c r="E312" s="4"/>
      <c r="F312" s="4"/>
      <c r="G312" s="4"/>
      <c r="H312" s="4"/>
      <c r="I312" s="4"/>
      <c r="J312" s="4"/>
      <c r="K312" s="4"/>
      <c r="L312" s="38"/>
      <c r="M312" s="4"/>
      <c r="N312" s="4"/>
      <c r="O312" s="4"/>
      <c r="P312" s="4"/>
      <c r="Q312" s="4"/>
      <c r="R312" s="4"/>
      <c r="S312" s="4"/>
      <c r="T312" s="4"/>
      <c r="U312" s="4"/>
      <c r="V312" s="4"/>
      <c r="W312" s="4"/>
      <c r="X312" s="4"/>
      <c r="Y312" s="4"/>
      <c r="Z312" s="4"/>
      <c r="AA312" s="4"/>
      <c r="AB312" s="4"/>
    </row>
    <row r="313" spans="1:28" ht="13.5" customHeight="1">
      <c r="A313" s="4"/>
      <c r="B313" s="9"/>
      <c r="C313" s="9"/>
      <c r="D313" s="4"/>
      <c r="E313" s="4"/>
      <c r="F313" s="4"/>
      <c r="G313" s="4"/>
      <c r="H313" s="4"/>
      <c r="I313" s="4"/>
      <c r="J313" s="4"/>
      <c r="K313" s="4"/>
      <c r="L313" s="38"/>
      <c r="M313" s="4"/>
      <c r="N313" s="4"/>
      <c r="O313" s="4"/>
      <c r="P313" s="4"/>
      <c r="Q313" s="4"/>
      <c r="R313" s="4"/>
      <c r="S313" s="4"/>
      <c r="T313" s="4"/>
      <c r="U313" s="4"/>
      <c r="V313" s="4"/>
      <c r="W313" s="4"/>
      <c r="X313" s="4"/>
      <c r="Y313" s="4"/>
      <c r="Z313" s="4"/>
      <c r="AA313" s="4"/>
      <c r="AB313" s="4"/>
    </row>
    <row r="314" spans="1:28" ht="13.5" customHeight="1">
      <c r="A314" s="4"/>
      <c r="B314" s="9"/>
      <c r="C314" s="9"/>
      <c r="D314" s="4"/>
      <c r="E314" s="4"/>
      <c r="F314" s="4"/>
      <c r="G314" s="4"/>
      <c r="H314" s="4"/>
      <c r="I314" s="4"/>
      <c r="J314" s="4"/>
      <c r="K314" s="4"/>
      <c r="L314" s="38"/>
      <c r="M314" s="4"/>
      <c r="N314" s="4"/>
      <c r="O314" s="4"/>
      <c r="P314" s="4"/>
      <c r="Q314" s="4"/>
      <c r="R314" s="4"/>
      <c r="S314" s="4"/>
      <c r="T314" s="4"/>
      <c r="U314" s="4"/>
      <c r="V314" s="4"/>
      <c r="W314" s="4"/>
      <c r="X314" s="4"/>
      <c r="Y314" s="4"/>
      <c r="Z314" s="4"/>
      <c r="AA314" s="4"/>
      <c r="AB314" s="4"/>
    </row>
    <row r="315" spans="1:28" ht="13.5" customHeight="1">
      <c r="A315" s="4"/>
      <c r="B315" s="9"/>
      <c r="C315" s="9"/>
      <c r="D315" s="4"/>
      <c r="E315" s="4"/>
      <c r="F315" s="4"/>
      <c r="G315" s="4"/>
      <c r="H315" s="4"/>
      <c r="I315" s="4"/>
      <c r="J315" s="4"/>
      <c r="K315" s="4"/>
      <c r="L315" s="38"/>
      <c r="M315" s="4"/>
      <c r="N315" s="4"/>
      <c r="O315" s="4"/>
      <c r="P315" s="4"/>
      <c r="Q315" s="4"/>
      <c r="R315" s="4"/>
      <c r="S315" s="4"/>
      <c r="T315" s="4"/>
      <c r="U315" s="4"/>
      <c r="V315" s="4"/>
      <c r="W315" s="4"/>
      <c r="X315" s="4"/>
      <c r="Y315" s="4"/>
      <c r="Z315" s="4"/>
      <c r="AA315" s="4"/>
      <c r="AB315" s="4"/>
    </row>
    <row r="316" spans="1:28" ht="13.5" customHeight="1">
      <c r="A316" s="4"/>
      <c r="B316" s="9"/>
      <c r="C316" s="9"/>
      <c r="D316" s="4"/>
      <c r="E316" s="4"/>
      <c r="F316" s="4"/>
      <c r="G316" s="4"/>
      <c r="H316" s="4"/>
      <c r="I316" s="4"/>
      <c r="J316" s="4"/>
      <c r="K316" s="4"/>
      <c r="L316" s="38"/>
      <c r="M316" s="4"/>
      <c r="N316" s="4"/>
      <c r="O316" s="4"/>
      <c r="P316" s="4"/>
      <c r="Q316" s="4"/>
      <c r="R316" s="4"/>
      <c r="S316" s="4"/>
      <c r="T316" s="4"/>
      <c r="U316" s="4"/>
      <c r="V316" s="4"/>
      <c r="W316" s="4"/>
      <c r="X316" s="4"/>
      <c r="Y316" s="4"/>
      <c r="Z316" s="4"/>
      <c r="AA316" s="4"/>
      <c r="AB316" s="4"/>
    </row>
    <row r="317" spans="1:28" ht="13.5" customHeight="1">
      <c r="A317" s="4"/>
      <c r="B317" s="9"/>
      <c r="C317" s="9"/>
      <c r="D317" s="4"/>
      <c r="E317" s="4"/>
      <c r="F317" s="4"/>
      <c r="G317" s="4"/>
      <c r="H317" s="4"/>
      <c r="I317" s="4"/>
      <c r="J317" s="4"/>
      <c r="K317" s="4"/>
      <c r="L317" s="38"/>
      <c r="M317" s="4"/>
      <c r="N317" s="4"/>
      <c r="O317" s="4"/>
      <c r="P317" s="4"/>
      <c r="Q317" s="4"/>
      <c r="R317" s="4"/>
      <c r="S317" s="4"/>
      <c r="T317" s="4"/>
      <c r="U317" s="4"/>
      <c r="V317" s="4"/>
      <c r="W317" s="4"/>
      <c r="X317" s="4"/>
      <c r="Y317" s="4"/>
      <c r="Z317" s="4"/>
      <c r="AA317" s="4"/>
      <c r="AB317" s="4"/>
    </row>
    <row r="318" spans="1:28" ht="13.5" customHeight="1">
      <c r="A318" s="4"/>
      <c r="B318" s="9"/>
      <c r="C318" s="9"/>
      <c r="D318" s="4"/>
      <c r="E318" s="4"/>
      <c r="F318" s="4"/>
      <c r="G318" s="4"/>
      <c r="H318" s="4"/>
      <c r="I318" s="4"/>
      <c r="J318" s="4"/>
      <c r="K318" s="4"/>
      <c r="L318" s="38"/>
      <c r="M318" s="4"/>
      <c r="N318" s="4"/>
      <c r="O318" s="4"/>
      <c r="P318" s="4"/>
      <c r="Q318" s="4"/>
      <c r="R318" s="4"/>
      <c r="S318" s="4"/>
      <c r="T318" s="4"/>
      <c r="U318" s="4"/>
      <c r="V318" s="4"/>
      <c r="W318" s="4"/>
      <c r="X318" s="4"/>
      <c r="Y318" s="4"/>
      <c r="Z318" s="4"/>
      <c r="AA318" s="4"/>
      <c r="AB318" s="4"/>
    </row>
    <row r="319" spans="1:28" ht="13.5" customHeight="1">
      <c r="A319" s="4"/>
      <c r="B319" s="9"/>
      <c r="C319" s="9"/>
      <c r="D319" s="4"/>
      <c r="E319" s="4"/>
      <c r="F319" s="4"/>
      <c r="G319" s="4"/>
      <c r="H319" s="4"/>
      <c r="I319" s="4"/>
      <c r="J319" s="4"/>
      <c r="K319" s="4"/>
      <c r="L319" s="38"/>
      <c r="M319" s="4"/>
      <c r="N319" s="4"/>
      <c r="O319" s="4"/>
      <c r="P319" s="4"/>
      <c r="Q319" s="4"/>
      <c r="R319" s="4"/>
      <c r="S319" s="4"/>
      <c r="T319" s="4"/>
      <c r="U319" s="4"/>
      <c r="V319" s="4"/>
      <c r="W319" s="4"/>
      <c r="X319" s="4"/>
      <c r="Y319" s="4"/>
      <c r="Z319" s="4"/>
      <c r="AA319" s="4"/>
      <c r="AB319" s="4"/>
    </row>
    <row r="320" spans="1:28" ht="13.5" customHeight="1">
      <c r="A320" s="4"/>
      <c r="B320" s="9"/>
      <c r="C320" s="9"/>
      <c r="D320" s="4"/>
      <c r="E320" s="4"/>
      <c r="F320" s="4"/>
      <c r="G320" s="4"/>
      <c r="H320" s="4"/>
      <c r="I320" s="4"/>
      <c r="J320" s="4"/>
      <c r="K320" s="4"/>
      <c r="L320" s="38"/>
      <c r="M320" s="4"/>
      <c r="N320" s="4"/>
      <c r="O320" s="4"/>
      <c r="P320" s="4"/>
      <c r="Q320" s="4"/>
      <c r="R320" s="4"/>
      <c r="S320" s="4"/>
      <c r="T320" s="4"/>
      <c r="U320" s="4"/>
      <c r="V320" s="4"/>
      <c r="W320" s="4"/>
      <c r="X320" s="4"/>
      <c r="Y320" s="4"/>
      <c r="Z320" s="4"/>
      <c r="AA320" s="4"/>
      <c r="AB320" s="4"/>
    </row>
    <row r="321" spans="1:28" ht="13.5" customHeight="1">
      <c r="A321" s="4"/>
      <c r="B321" s="9"/>
      <c r="C321" s="9"/>
      <c r="D321" s="4"/>
      <c r="E321" s="4"/>
      <c r="F321" s="4"/>
      <c r="G321" s="4"/>
      <c r="H321" s="4"/>
      <c r="I321" s="4"/>
      <c r="J321" s="4"/>
      <c r="K321" s="4"/>
      <c r="L321" s="38"/>
      <c r="M321" s="4"/>
      <c r="N321" s="4"/>
      <c r="O321" s="4"/>
      <c r="P321" s="4"/>
      <c r="Q321" s="4"/>
      <c r="R321" s="4"/>
      <c r="S321" s="4"/>
      <c r="T321" s="4"/>
      <c r="U321" s="4"/>
      <c r="V321" s="4"/>
      <c r="W321" s="4"/>
      <c r="X321" s="4"/>
      <c r="Y321" s="4"/>
      <c r="Z321" s="4"/>
      <c r="AA321" s="4"/>
      <c r="AB321" s="4"/>
    </row>
    <row r="322" spans="1:28" ht="13.5" customHeight="1">
      <c r="A322" s="4"/>
      <c r="B322" s="9"/>
      <c r="C322" s="9"/>
      <c r="D322" s="4"/>
      <c r="E322" s="4"/>
      <c r="F322" s="4"/>
      <c r="G322" s="4"/>
      <c r="H322" s="4"/>
      <c r="I322" s="4"/>
      <c r="J322" s="4"/>
      <c r="K322" s="4"/>
      <c r="L322" s="38"/>
      <c r="M322" s="4"/>
      <c r="N322" s="4"/>
      <c r="O322" s="4"/>
      <c r="P322" s="4"/>
      <c r="Q322" s="4"/>
      <c r="R322" s="4"/>
      <c r="S322" s="4"/>
      <c r="T322" s="4"/>
      <c r="U322" s="4"/>
      <c r="V322" s="4"/>
      <c r="W322" s="4"/>
      <c r="X322" s="4"/>
      <c r="Y322" s="4"/>
      <c r="Z322" s="4"/>
      <c r="AA322" s="4"/>
      <c r="AB322" s="4"/>
    </row>
    <row r="323" spans="1:28" ht="13.5" customHeight="1">
      <c r="A323" s="4"/>
      <c r="B323" s="9"/>
      <c r="C323" s="9"/>
      <c r="D323" s="4"/>
      <c r="E323" s="4"/>
      <c r="F323" s="4"/>
      <c r="G323" s="4"/>
      <c r="H323" s="4"/>
      <c r="I323" s="4"/>
      <c r="J323" s="4"/>
      <c r="K323" s="4"/>
      <c r="L323" s="38"/>
      <c r="M323" s="4"/>
      <c r="N323" s="4"/>
      <c r="O323" s="4"/>
      <c r="P323" s="4"/>
      <c r="Q323" s="4"/>
      <c r="R323" s="4"/>
      <c r="S323" s="4"/>
      <c r="T323" s="4"/>
      <c r="U323" s="4"/>
      <c r="V323" s="4"/>
      <c r="W323" s="4"/>
      <c r="X323" s="4"/>
      <c r="Y323" s="4"/>
      <c r="Z323" s="4"/>
      <c r="AA323" s="4"/>
      <c r="AB323" s="4"/>
    </row>
    <row r="324" spans="1:28" ht="13.5" customHeight="1">
      <c r="A324" s="4"/>
      <c r="B324" s="9"/>
      <c r="C324" s="9"/>
      <c r="D324" s="4"/>
      <c r="E324" s="4"/>
      <c r="F324" s="4"/>
      <c r="G324" s="4"/>
      <c r="H324" s="4"/>
      <c r="I324" s="4"/>
      <c r="J324" s="4"/>
      <c r="K324" s="4"/>
      <c r="L324" s="38"/>
      <c r="M324" s="4"/>
      <c r="N324" s="4"/>
      <c r="O324" s="4"/>
      <c r="P324" s="4"/>
      <c r="Q324" s="4"/>
      <c r="R324" s="4"/>
      <c r="S324" s="4"/>
      <c r="T324" s="4"/>
      <c r="U324" s="4"/>
      <c r="V324" s="4"/>
      <c r="W324" s="4"/>
      <c r="X324" s="4"/>
      <c r="Y324" s="4"/>
      <c r="Z324" s="4"/>
      <c r="AA324" s="4"/>
      <c r="AB324" s="4"/>
    </row>
    <row r="325" spans="1:28" ht="13.5" customHeight="1">
      <c r="A325" s="4"/>
      <c r="B325" s="9"/>
      <c r="C325" s="9"/>
      <c r="D325" s="4"/>
      <c r="E325" s="4"/>
      <c r="F325" s="4"/>
      <c r="G325" s="4"/>
      <c r="H325" s="4"/>
      <c r="I325" s="4"/>
      <c r="J325" s="4"/>
      <c r="K325" s="4"/>
      <c r="L325" s="38"/>
      <c r="M325" s="4"/>
      <c r="N325" s="4"/>
      <c r="O325" s="4"/>
      <c r="P325" s="4"/>
      <c r="Q325" s="4"/>
      <c r="R325" s="4"/>
      <c r="S325" s="4"/>
      <c r="T325" s="4"/>
      <c r="U325" s="4"/>
      <c r="V325" s="4"/>
      <c r="W325" s="4"/>
      <c r="X325" s="4"/>
      <c r="Y325" s="4"/>
      <c r="Z325" s="4"/>
      <c r="AA325" s="4"/>
      <c r="AB325" s="4"/>
    </row>
    <row r="326" spans="1:28" ht="13.5" customHeight="1">
      <c r="A326" s="4"/>
      <c r="B326" s="9"/>
      <c r="C326" s="9"/>
      <c r="D326" s="4"/>
      <c r="E326" s="4"/>
      <c r="F326" s="4"/>
      <c r="G326" s="4"/>
      <c r="H326" s="4"/>
      <c r="I326" s="4"/>
      <c r="J326" s="4"/>
      <c r="K326" s="4"/>
      <c r="L326" s="38"/>
      <c r="M326" s="4"/>
      <c r="N326" s="4"/>
      <c r="O326" s="4"/>
      <c r="P326" s="4"/>
      <c r="Q326" s="4"/>
      <c r="R326" s="4"/>
      <c r="S326" s="4"/>
      <c r="T326" s="4"/>
      <c r="U326" s="4"/>
      <c r="V326" s="4"/>
      <c r="W326" s="4"/>
      <c r="X326" s="4"/>
      <c r="Y326" s="4"/>
      <c r="Z326" s="4"/>
      <c r="AA326" s="4"/>
      <c r="AB326" s="4"/>
    </row>
    <row r="327" spans="1:28" ht="13.5" customHeight="1">
      <c r="A327" s="4"/>
      <c r="B327" s="9"/>
      <c r="C327" s="9"/>
      <c r="D327" s="4"/>
      <c r="E327" s="4"/>
      <c r="F327" s="4"/>
      <c r="G327" s="4"/>
      <c r="H327" s="4"/>
      <c r="I327" s="4"/>
      <c r="J327" s="4"/>
      <c r="K327" s="4"/>
      <c r="L327" s="38"/>
      <c r="M327" s="4"/>
      <c r="N327" s="4"/>
      <c r="O327" s="4"/>
      <c r="P327" s="4"/>
      <c r="Q327" s="4"/>
      <c r="R327" s="4"/>
      <c r="S327" s="4"/>
      <c r="T327" s="4"/>
      <c r="U327" s="4"/>
      <c r="V327" s="4"/>
      <c r="W327" s="4"/>
      <c r="X327" s="4"/>
      <c r="Y327" s="4"/>
      <c r="Z327" s="4"/>
      <c r="AA327" s="4"/>
      <c r="AB327" s="4"/>
    </row>
    <row r="328" spans="1:28" ht="13.5" customHeight="1">
      <c r="A328" s="4"/>
      <c r="B328" s="9"/>
      <c r="C328" s="9"/>
      <c r="D328" s="4"/>
      <c r="E328" s="4"/>
      <c r="F328" s="4"/>
      <c r="G328" s="4"/>
      <c r="H328" s="4"/>
      <c r="I328" s="4"/>
      <c r="J328" s="4"/>
      <c r="K328" s="4"/>
      <c r="L328" s="38"/>
      <c r="M328" s="4"/>
      <c r="N328" s="4"/>
      <c r="O328" s="4"/>
      <c r="P328" s="4"/>
      <c r="Q328" s="4"/>
      <c r="R328" s="4"/>
      <c r="S328" s="4"/>
      <c r="T328" s="4"/>
      <c r="U328" s="4"/>
      <c r="V328" s="4"/>
      <c r="W328" s="4"/>
      <c r="X328" s="4"/>
      <c r="Y328" s="4"/>
      <c r="Z328" s="4"/>
      <c r="AA328" s="4"/>
      <c r="AB328" s="4"/>
    </row>
    <row r="329" spans="1:28" ht="13.5" customHeight="1">
      <c r="A329" s="4"/>
      <c r="B329" s="9"/>
      <c r="C329" s="9"/>
      <c r="D329" s="4"/>
      <c r="E329" s="4"/>
      <c r="F329" s="4"/>
      <c r="G329" s="4"/>
      <c r="H329" s="4"/>
      <c r="I329" s="4"/>
      <c r="J329" s="4"/>
      <c r="K329" s="4"/>
      <c r="L329" s="38"/>
      <c r="M329" s="4"/>
      <c r="N329" s="4"/>
      <c r="O329" s="4"/>
      <c r="P329" s="4"/>
      <c r="Q329" s="4"/>
      <c r="R329" s="4"/>
      <c r="S329" s="4"/>
      <c r="T329" s="4"/>
      <c r="U329" s="4"/>
      <c r="V329" s="4"/>
      <c r="W329" s="4"/>
      <c r="X329" s="4"/>
      <c r="Y329" s="4"/>
      <c r="Z329" s="4"/>
      <c r="AA329" s="4"/>
      <c r="AB329" s="4"/>
    </row>
    <row r="330" spans="1:28" ht="13.5" customHeight="1">
      <c r="A330" s="4"/>
      <c r="B330" s="9"/>
      <c r="C330" s="9"/>
      <c r="D330" s="4"/>
      <c r="E330" s="4"/>
      <c r="F330" s="4"/>
      <c r="G330" s="4"/>
      <c r="H330" s="4"/>
      <c r="I330" s="4"/>
      <c r="J330" s="4"/>
      <c r="K330" s="4"/>
      <c r="L330" s="38"/>
      <c r="M330" s="4"/>
      <c r="N330" s="4"/>
      <c r="O330" s="4"/>
      <c r="P330" s="4"/>
      <c r="Q330" s="4"/>
      <c r="R330" s="4"/>
      <c r="S330" s="4"/>
      <c r="T330" s="4"/>
      <c r="U330" s="4"/>
      <c r="V330" s="4"/>
      <c r="W330" s="4"/>
      <c r="X330" s="4"/>
      <c r="Y330" s="4"/>
      <c r="Z330" s="4"/>
      <c r="AA330" s="4"/>
      <c r="AB330" s="4"/>
    </row>
    <row r="331" spans="1:28" ht="13.5" customHeight="1">
      <c r="A331" s="4"/>
      <c r="B331" s="9"/>
      <c r="C331" s="9"/>
      <c r="D331" s="4"/>
      <c r="E331" s="4"/>
      <c r="F331" s="4"/>
      <c r="G331" s="4"/>
      <c r="H331" s="4"/>
      <c r="I331" s="4"/>
      <c r="J331" s="4"/>
      <c r="K331" s="4"/>
      <c r="L331" s="38"/>
      <c r="M331" s="4"/>
      <c r="N331" s="4"/>
      <c r="O331" s="4"/>
      <c r="P331" s="4"/>
      <c r="Q331" s="4"/>
      <c r="R331" s="4"/>
      <c r="S331" s="4"/>
      <c r="T331" s="4"/>
      <c r="U331" s="4"/>
      <c r="V331" s="4"/>
      <c r="W331" s="4"/>
      <c r="X331" s="4"/>
      <c r="Y331" s="4"/>
      <c r="Z331" s="4"/>
      <c r="AA331" s="4"/>
      <c r="AB331" s="4"/>
    </row>
    <row r="332" spans="1:28" ht="13.5" customHeight="1">
      <c r="A332" s="4"/>
      <c r="B332" s="9"/>
      <c r="C332" s="9"/>
      <c r="D332" s="4"/>
      <c r="E332" s="4"/>
      <c r="F332" s="4"/>
      <c r="G332" s="4"/>
      <c r="H332" s="4"/>
      <c r="I332" s="4"/>
      <c r="J332" s="4"/>
      <c r="K332" s="4"/>
      <c r="L332" s="38"/>
      <c r="M332" s="4"/>
      <c r="N332" s="4"/>
      <c r="O332" s="4"/>
      <c r="P332" s="4"/>
      <c r="Q332" s="4"/>
      <c r="R332" s="4"/>
      <c r="S332" s="4"/>
      <c r="T332" s="4"/>
      <c r="U332" s="4"/>
      <c r="V332" s="4"/>
      <c r="W332" s="4"/>
      <c r="X332" s="4"/>
      <c r="Y332" s="4"/>
      <c r="Z332" s="4"/>
      <c r="AA332" s="4"/>
      <c r="AB332" s="4"/>
    </row>
    <row r="333" spans="1:28" ht="13.5" customHeight="1">
      <c r="A333" s="4"/>
      <c r="B333" s="9"/>
      <c r="C333" s="9"/>
      <c r="D333" s="4"/>
      <c r="E333" s="4"/>
      <c r="F333" s="4"/>
      <c r="G333" s="4"/>
      <c r="H333" s="4"/>
      <c r="I333" s="4"/>
      <c r="J333" s="4"/>
      <c r="K333" s="4"/>
      <c r="L333" s="38"/>
      <c r="M333" s="4"/>
      <c r="N333" s="4"/>
      <c r="O333" s="4"/>
      <c r="P333" s="4"/>
      <c r="Q333" s="4"/>
      <c r="R333" s="4"/>
      <c r="S333" s="4"/>
      <c r="T333" s="4"/>
      <c r="U333" s="4"/>
      <c r="V333" s="4"/>
      <c r="W333" s="4"/>
      <c r="X333" s="4"/>
      <c r="Y333" s="4"/>
      <c r="Z333" s="4"/>
      <c r="AA333" s="4"/>
      <c r="AB333" s="4"/>
    </row>
    <row r="334" spans="1:28" ht="13.5" customHeight="1">
      <c r="A334" s="4"/>
      <c r="B334" s="9"/>
      <c r="C334" s="9"/>
      <c r="D334" s="4"/>
      <c r="E334" s="4"/>
      <c r="F334" s="4"/>
      <c r="G334" s="4"/>
      <c r="H334" s="4"/>
      <c r="I334" s="4"/>
      <c r="J334" s="4"/>
      <c r="K334" s="4"/>
      <c r="L334" s="38"/>
      <c r="M334" s="4"/>
      <c r="N334" s="4"/>
      <c r="O334" s="4"/>
      <c r="P334" s="4"/>
      <c r="Q334" s="4"/>
      <c r="R334" s="4"/>
      <c r="S334" s="4"/>
      <c r="T334" s="4"/>
      <c r="U334" s="4"/>
      <c r="V334" s="4"/>
      <c r="W334" s="4"/>
      <c r="X334" s="4"/>
      <c r="Y334" s="4"/>
      <c r="Z334" s="4"/>
      <c r="AA334" s="4"/>
      <c r="AB334" s="4"/>
    </row>
    <row r="335" spans="1:28" ht="13.5" customHeight="1">
      <c r="A335" s="4"/>
      <c r="B335" s="9"/>
      <c r="C335" s="9"/>
      <c r="D335" s="4"/>
      <c r="E335" s="4"/>
      <c r="F335" s="4"/>
      <c r="G335" s="4"/>
      <c r="H335" s="4"/>
      <c r="I335" s="4"/>
      <c r="J335" s="4"/>
      <c r="K335" s="4"/>
      <c r="L335" s="38"/>
      <c r="M335" s="4"/>
      <c r="N335" s="4"/>
      <c r="O335" s="4"/>
      <c r="P335" s="4"/>
      <c r="Q335" s="4"/>
      <c r="R335" s="4"/>
      <c r="S335" s="4"/>
      <c r="T335" s="4"/>
      <c r="U335" s="4"/>
      <c r="V335" s="4"/>
      <c r="W335" s="4"/>
      <c r="X335" s="4"/>
      <c r="Y335" s="4"/>
      <c r="Z335" s="4"/>
      <c r="AA335" s="4"/>
      <c r="AB335" s="4"/>
    </row>
    <row r="336" spans="1:28" ht="13.5" customHeight="1">
      <c r="A336" s="4"/>
      <c r="B336" s="9"/>
      <c r="C336" s="9"/>
      <c r="D336" s="4"/>
      <c r="E336" s="4"/>
      <c r="F336" s="4"/>
      <c r="G336" s="4"/>
      <c r="H336" s="4"/>
      <c r="I336" s="4"/>
      <c r="J336" s="4"/>
      <c r="K336" s="4"/>
      <c r="L336" s="38"/>
      <c r="M336" s="4"/>
      <c r="N336" s="4"/>
      <c r="O336" s="4"/>
      <c r="P336" s="4"/>
      <c r="Q336" s="4"/>
      <c r="R336" s="4"/>
      <c r="S336" s="4"/>
      <c r="T336" s="4"/>
      <c r="U336" s="4"/>
      <c r="V336" s="4"/>
      <c r="W336" s="4"/>
      <c r="X336" s="4"/>
      <c r="Y336" s="4"/>
      <c r="Z336" s="4"/>
      <c r="AA336" s="4"/>
      <c r="AB336" s="4"/>
    </row>
    <row r="337" spans="1:28" ht="13.5" customHeight="1">
      <c r="A337" s="4"/>
      <c r="B337" s="9"/>
      <c r="C337" s="9"/>
      <c r="D337" s="4"/>
      <c r="E337" s="4"/>
      <c r="F337" s="4"/>
      <c r="G337" s="4"/>
      <c r="H337" s="4"/>
      <c r="I337" s="4"/>
      <c r="J337" s="4"/>
      <c r="K337" s="4"/>
      <c r="L337" s="38"/>
      <c r="M337" s="4"/>
      <c r="N337" s="4"/>
      <c r="O337" s="4"/>
      <c r="P337" s="4"/>
      <c r="Q337" s="4"/>
      <c r="R337" s="4"/>
      <c r="S337" s="4"/>
      <c r="T337" s="4"/>
      <c r="U337" s="4"/>
      <c r="V337" s="4"/>
      <c r="W337" s="4"/>
      <c r="X337" s="4"/>
      <c r="Y337" s="4"/>
      <c r="Z337" s="4"/>
      <c r="AA337" s="4"/>
      <c r="AB337" s="4"/>
    </row>
    <row r="338" spans="1:28" ht="13.5" customHeight="1">
      <c r="A338" s="4"/>
      <c r="B338" s="9"/>
      <c r="C338" s="9"/>
      <c r="D338" s="4"/>
      <c r="E338" s="4"/>
      <c r="F338" s="4"/>
      <c r="G338" s="4"/>
      <c r="H338" s="4"/>
      <c r="I338" s="4"/>
      <c r="J338" s="4"/>
      <c r="K338" s="4"/>
      <c r="L338" s="38"/>
      <c r="M338" s="4"/>
      <c r="N338" s="4"/>
      <c r="O338" s="4"/>
      <c r="P338" s="4"/>
      <c r="Q338" s="4"/>
      <c r="R338" s="4"/>
      <c r="S338" s="4"/>
      <c r="T338" s="4"/>
      <c r="U338" s="4"/>
      <c r="V338" s="4"/>
      <c r="W338" s="4"/>
      <c r="X338" s="4"/>
      <c r="Y338" s="4"/>
      <c r="Z338" s="4"/>
      <c r="AA338" s="4"/>
      <c r="AB338" s="4"/>
    </row>
    <row r="339" spans="1:28" ht="13.5" customHeight="1">
      <c r="A339" s="4"/>
      <c r="B339" s="9"/>
      <c r="C339" s="9"/>
      <c r="D339" s="4"/>
      <c r="E339" s="4"/>
      <c r="F339" s="4"/>
      <c r="G339" s="4"/>
      <c r="H339" s="4"/>
      <c r="I339" s="4"/>
      <c r="J339" s="4"/>
      <c r="K339" s="4"/>
      <c r="L339" s="38"/>
      <c r="M339" s="4"/>
      <c r="N339" s="4"/>
      <c r="O339" s="4"/>
      <c r="P339" s="4"/>
      <c r="Q339" s="4"/>
      <c r="R339" s="4"/>
      <c r="S339" s="4"/>
      <c r="T339" s="4"/>
      <c r="U339" s="4"/>
      <c r="V339" s="4"/>
      <c r="W339" s="4"/>
      <c r="X339" s="4"/>
      <c r="Y339" s="4"/>
      <c r="Z339" s="4"/>
      <c r="AA339" s="4"/>
      <c r="AB339" s="4"/>
    </row>
    <row r="340" spans="1:28" ht="13.5" customHeight="1">
      <c r="A340" s="4"/>
      <c r="B340" s="9"/>
      <c r="C340" s="9"/>
      <c r="D340" s="4"/>
      <c r="E340" s="4"/>
      <c r="F340" s="4"/>
      <c r="G340" s="4"/>
      <c r="H340" s="4"/>
      <c r="I340" s="4"/>
      <c r="J340" s="4"/>
      <c r="K340" s="4"/>
      <c r="L340" s="38"/>
      <c r="M340" s="4"/>
      <c r="N340" s="4"/>
      <c r="O340" s="4"/>
      <c r="P340" s="4"/>
      <c r="Q340" s="4"/>
      <c r="R340" s="4"/>
      <c r="S340" s="4"/>
      <c r="T340" s="4"/>
      <c r="U340" s="4"/>
      <c r="V340" s="4"/>
      <c r="W340" s="4"/>
      <c r="X340" s="4"/>
      <c r="Y340" s="4"/>
      <c r="Z340" s="4"/>
      <c r="AA340" s="4"/>
      <c r="AB340" s="4"/>
    </row>
    <row r="341" spans="1:28" ht="13.5" customHeight="1">
      <c r="A341" s="4"/>
      <c r="B341" s="9"/>
      <c r="C341" s="9"/>
      <c r="D341" s="4"/>
      <c r="E341" s="4"/>
      <c r="F341" s="4"/>
      <c r="G341" s="4"/>
      <c r="H341" s="4"/>
      <c r="I341" s="4"/>
      <c r="J341" s="4"/>
      <c r="K341" s="4"/>
      <c r="L341" s="38"/>
      <c r="M341" s="4"/>
      <c r="N341" s="4"/>
      <c r="O341" s="4"/>
      <c r="P341" s="4"/>
      <c r="Q341" s="4"/>
      <c r="R341" s="4"/>
      <c r="S341" s="4"/>
      <c r="T341" s="4"/>
      <c r="U341" s="4"/>
      <c r="V341" s="4"/>
      <c r="W341" s="4"/>
      <c r="X341" s="4"/>
      <c r="Y341" s="4"/>
      <c r="Z341" s="4"/>
      <c r="AA341" s="4"/>
      <c r="AB341" s="4"/>
    </row>
    <row r="342" spans="1:28" ht="13.5" customHeight="1">
      <c r="A342" s="4"/>
      <c r="B342" s="9"/>
      <c r="C342" s="9"/>
      <c r="D342" s="4"/>
      <c r="E342" s="4"/>
      <c r="F342" s="4"/>
      <c r="G342" s="4"/>
      <c r="H342" s="4"/>
      <c r="I342" s="4"/>
      <c r="J342" s="4"/>
      <c r="K342" s="4"/>
      <c r="L342" s="38"/>
      <c r="M342" s="4"/>
      <c r="N342" s="4"/>
      <c r="O342" s="4"/>
      <c r="P342" s="4"/>
      <c r="Q342" s="4"/>
      <c r="R342" s="4"/>
      <c r="S342" s="4"/>
      <c r="T342" s="4"/>
      <c r="U342" s="4"/>
      <c r="V342" s="4"/>
      <c r="W342" s="4"/>
      <c r="X342" s="4"/>
      <c r="Y342" s="4"/>
      <c r="Z342" s="4"/>
      <c r="AA342" s="4"/>
      <c r="AB342" s="4"/>
    </row>
    <row r="343" spans="1:28" ht="13.5" customHeight="1">
      <c r="A343" s="4"/>
      <c r="B343" s="9"/>
      <c r="C343" s="9"/>
      <c r="D343" s="4"/>
      <c r="E343" s="4"/>
      <c r="F343" s="4"/>
      <c r="G343" s="4"/>
      <c r="H343" s="4"/>
      <c r="I343" s="4"/>
      <c r="J343" s="4"/>
      <c r="K343" s="4"/>
      <c r="L343" s="38"/>
      <c r="M343" s="4"/>
      <c r="N343" s="4"/>
      <c r="O343" s="4"/>
      <c r="P343" s="4"/>
      <c r="Q343" s="4"/>
      <c r="R343" s="4"/>
      <c r="S343" s="4"/>
      <c r="T343" s="4"/>
      <c r="U343" s="4"/>
      <c r="V343" s="4"/>
      <c r="W343" s="4"/>
      <c r="X343" s="4"/>
      <c r="Y343" s="4"/>
      <c r="Z343" s="4"/>
      <c r="AA343" s="4"/>
      <c r="AB343" s="4"/>
    </row>
    <row r="344" spans="1:28" ht="13.5" customHeight="1">
      <c r="A344" s="4"/>
      <c r="B344" s="9"/>
      <c r="C344" s="9"/>
      <c r="D344" s="4"/>
      <c r="E344" s="4"/>
      <c r="F344" s="4"/>
      <c r="G344" s="4"/>
      <c r="H344" s="4"/>
      <c r="I344" s="4"/>
      <c r="J344" s="4"/>
      <c r="K344" s="4"/>
      <c r="L344" s="38"/>
      <c r="M344" s="4"/>
      <c r="N344" s="4"/>
      <c r="O344" s="4"/>
      <c r="P344" s="4"/>
      <c r="Q344" s="4"/>
      <c r="R344" s="4"/>
      <c r="S344" s="4"/>
      <c r="T344" s="4"/>
      <c r="U344" s="4"/>
      <c r="V344" s="4"/>
      <c r="W344" s="4"/>
      <c r="X344" s="4"/>
      <c r="Y344" s="4"/>
      <c r="Z344" s="4"/>
      <c r="AA344" s="4"/>
      <c r="AB344" s="4"/>
    </row>
    <row r="345" spans="1:28" ht="13.5" customHeight="1">
      <c r="A345" s="4"/>
      <c r="B345" s="9"/>
      <c r="C345" s="9"/>
      <c r="D345" s="4"/>
      <c r="E345" s="4"/>
      <c r="F345" s="4"/>
      <c r="G345" s="4"/>
      <c r="H345" s="4"/>
      <c r="I345" s="4"/>
      <c r="J345" s="4"/>
      <c r="K345" s="4"/>
      <c r="L345" s="38"/>
      <c r="M345" s="4"/>
      <c r="N345" s="4"/>
      <c r="O345" s="4"/>
      <c r="P345" s="4"/>
      <c r="Q345" s="4"/>
      <c r="R345" s="4"/>
      <c r="S345" s="4"/>
      <c r="T345" s="4"/>
      <c r="U345" s="4"/>
      <c r="V345" s="4"/>
      <c r="W345" s="4"/>
      <c r="X345" s="4"/>
      <c r="Y345" s="4"/>
      <c r="Z345" s="4"/>
      <c r="AA345" s="4"/>
      <c r="AB345" s="4"/>
    </row>
    <row r="346" spans="1:28" ht="13.5" customHeight="1">
      <c r="A346" s="4"/>
      <c r="B346" s="9"/>
      <c r="C346" s="9"/>
      <c r="D346" s="4"/>
      <c r="E346" s="4"/>
      <c r="F346" s="4"/>
      <c r="G346" s="4"/>
      <c r="H346" s="4"/>
      <c r="I346" s="4"/>
      <c r="J346" s="4"/>
      <c r="K346" s="4"/>
      <c r="L346" s="38"/>
      <c r="M346" s="4"/>
      <c r="N346" s="4"/>
      <c r="O346" s="4"/>
      <c r="P346" s="4"/>
      <c r="Q346" s="4"/>
      <c r="R346" s="4"/>
      <c r="S346" s="4"/>
      <c r="T346" s="4"/>
      <c r="U346" s="4"/>
      <c r="V346" s="4"/>
      <c r="W346" s="4"/>
      <c r="X346" s="4"/>
      <c r="Y346" s="4"/>
      <c r="Z346" s="4"/>
      <c r="AA346" s="4"/>
      <c r="AB346" s="4"/>
    </row>
    <row r="347" spans="1:28" ht="13.5" customHeight="1">
      <c r="A347" s="4"/>
      <c r="B347" s="9"/>
      <c r="C347" s="9"/>
      <c r="D347" s="4"/>
      <c r="E347" s="4"/>
      <c r="F347" s="4"/>
      <c r="G347" s="4"/>
      <c r="H347" s="4"/>
      <c r="I347" s="4"/>
      <c r="J347" s="4"/>
      <c r="K347" s="4"/>
      <c r="L347" s="38"/>
      <c r="M347" s="4"/>
      <c r="N347" s="4"/>
      <c r="O347" s="4"/>
      <c r="P347" s="4"/>
      <c r="Q347" s="4"/>
      <c r="R347" s="4"/>
      <c r="S347" s="4"/>
      <c r="T347" s="4"/>
      <c r="U347" s="4"/>
      <c r="V347" s="4"/>
      <c r="W347" s="4"/>
      <c r="X347" s="4"/>
      <c r="Y347" s="4"/>
      <c r="Z347" s="4"/>
      <c r="AA347" s="4"/>
      <c r="AB347" s="4"/>
    </row>
    <row r="348" spans="1:28" ht="13.5" customHeight="1">
      <c r="A348" s="4"/>
      <c r="B348" s="9"/>
      <c r="C348" s="9"/>
      <c r="D348" s="4"/>
      <c r="E348" s="4"/>
      <c r="F348" s="4"/>
      <c r="G348" s="4"/>
      <c r="H348" s="4"/>
      <c r="I348" s="4"/>
      <c r="J348" s="4"/>
      <c r="K348" s="4"/>
      <c r="L348" s="38"/>
      <c r="M348" s="4"/>
      <c r="N348" s="4"/>
      <c r="O348" s="4"/>
      <c r="P348" s="4"/>
      <c r="Q348" s="4"/>
      <c r="R348" s="4"/>
      <c r="S348" s="4"/>
      <c r="T348" s="4"/>
      <c r="U348" s="4"/>
      <c r="V348" s="4"/>
      <c r="W348" s="4"/>
      <c r="X348" s="4"/>
      <c r="Y348" s="4"/>
      <c r="Z348" s="4"/>
      <c r="AA348" s="4"/>
      <c r="AB348" s="4"/>
    </row>
    <row r="349" spans="1:28" ht="13.5" customHeight="1">
      <c r="A349" s="4"/>
      <c r="B349" s="9"/>
      <c r="C349" s="9"/>
      <c r="D349" s="4"/>
      <c r="E349" s="4"/>
      <c r="F349" s="4"/>
      <c r="G349" s="4"/>
      <c r="H349" s="4"/>
      <c r="I349" s="4"/>
      <c r="J349" s="4"/>
      <c r="K349" s="4"/>
      <c r="L349" s="38"/>
      <c r="M349" s="4"/>
      <c r="N349" s="4"/>
      <c r="O349" s="4"/>
      <c r="P349" s="4"/>
      <c r="Q349" s="4"/>
      <c r="R349" s="4"/>
      <c r="S349" s="4"/>
      <c r="T349" s="4"/>
      <c r="U349" s="4"/>
      <c r="V349" s="4"/>
      <c r="W349" s="4"/>
      <c r="X349" s="4"/>
      <c r="Y349" s="4"/>
      <c r="Z349" s="4"/>
      <c r="AA349" s="4"/>
      <c r="AB349" s="4"/>
    </row>
    <row r="350" spans="1:28" ht="13.5" customHeight="1">
      <c r="A350" s="4"/>
      <c r="B350" s="9"/>
      <c r="C350" s="9"/>
      <c r="D350" s="4"/>
      <c r="E350" s="4"/>
      <c r="F350" s="4"/>
      <c r="G350" s="4"/>
      <c r="H350" s="4"/>
      <c r="I350" s="4"/>
      <c r="J350" s="4"/>
      <c r="K350" s="4"/>
      <c r="L350" s="38"/>
      <c r="M350" s="4"/>
      <c r="N350" s="4"/>
      <c r="O350" s="4"/>
      <c r="P350" s="4"/>
      <c r="Q350" s="4"/>
      <c r="R350" s="4"/>
      <c r="S350" s="4"/>
      <c r="T350" s="4"/>
      <c r="U350" s="4"/>
      <c r="V350" s="4"/>
      <c r="W350" s="4"/>
      <c r="X350" s="4"/>
      <c r="Y350" s="4"/>
      <c r="Z350" s="4"/>
      <c r="AA350" s="4"/>
      <c r="AB350" s="4"/>
    </row>
    <row r="351" spans="1:28" ht="13.5" customHeight="1">
      <c r="A351" s="4"/>
      <c r="B351" s="9"/>
      <c r="C351" s="9"/>
      <c r="D351" s="4"/>
      <c r="E351" s="4"/>
      <c r="F351" s="4"/>
      <c r="G351" s="4"/>
      <c r="H351" s="4"/>
      <c r="I351" s="4"/>
      <c r="J351" s="4"/>
      <c r="K351" s="4"/>
      <c r="L351" s="38"/>
      <c r="M351" s="4"/>
      <c r="N351" s="4"/>
      <c r="O351" s="4"/>
      <c r="P351" s="4"/>
      <c r="Q351" s="4"/>
      <c r="R351" s="4"/>
      <c r="S351" s="4"/>
      <c r="T351" s="4"/>
      <c r="U351" s="4"/>
      <c r="V351" s="4"/>
      <c r="W351" s="4"/>
      <c r="X351" s="4"/>
      <c r="Y351" s="4"/>
      <c r="Z351" s="4"/>
      <c r="AA351" s="4"/>
      <c r="AB351" s="4"/>
    </row>
    <row r="352" spans="1:28" ht="13.5" customHeight="1">
      <c r="A352" s="4"/>
      <c r="B352" s="9"/>
      <c r="C352" s="9"/>
      <c r="D352" s="4"/>
      <c r="E352" s="4"/>
      <c r="F352" s="4"/>
      <c r="G352" s="4"/>
      <c r="H352" s="4"/>
      <c r="I352" s="4"/>
      <c r="J352" s="4"/>
      <c r="K352" s="4"/>
      <c r="L352" s="38"/>
      <c r="M352" s="4"/>
      <c r="N352" s="4"/>
      <c r="O352" s="4"/>
      <c r="P352" s="4"/>
      <c r="Q352" s="4"/>
      <c r="R352" s="4"/>
      <c r="S352" s="4"/>
      <c r="T352" s="4"/>
      <c r="U352" s="4"/>
      <c r="V352" s="4"/>
      <c r="W352" s="4"/>
      <c r="X352" s="4"/>
      <c r="Y352" s="4"/>
      <c r="Z352" s="4"/>
      <c r="AA352" s="4"/>
      <c r="AB352" s="4"/>
    </row>
    <row r="353" spans="1:28" ht="13.5" customHeight="1">
      <c r="A353" s="4"/>
      <c r="B353" s="9"/>
      <c r="C353" s="9"/>
      <c r="D353" s="4"/>
      <c r="E353" s="4"/>
      <c r="F353" s="4"/>
      <c r="G353" s="4"/>
      <c r="H353" s="4"/>
      <c r="I353" s="4"/>
      <c r="J353" s="4"/>
      <c r="K353" s="4"/>
      <c r="L353" s="38"/>
      <c r="M353" s="4"/>
      <c r="N353" s="4"/>
      <c r="O353" s="4"/>
      <c r="P353" s="4"/>
      <c r="Q353" s="4"/>
      <c r="R353" s="4"/>
      <c r="S353" s="4"/>
      <c r="T353" s="4"/>
      <c r="U353" s="4"/>
      <c r="V353" s="4"/>
      <c r="W353" s="4"/>
      <c r="X353" s="4"/>
      <c r="Y353" s="4"/>
      <c r="Z353" s="4"/>
      <c r="AA353" s="4"/>
      <c r="AB353" s="4"/>
    </row>
    <row r="354" spans="1:28" ht="13.5" customHeight="1">
      <c r="A354" s="4"/>
      <c r="B354" s="9"/>
      <c r="C354" s="9"/>
      <c r="D354" s="4"/>
      <c r="E354" s="4"/>
      <c r="F354" s="4"/>
      <c r="G354" s="4"/>
      <c r="H354" s="4"/>
      <c r="I354" s="4"/>
      <c r="J354" s="4"/>
      <c r="K354" s="4"/>
      <c r="L354" s="38"/>
      <c r="M354" s="4"/>
      <c r="N354" s="4"/>
      <c r="O354" s="4"/>
      <c r="P354" s="4"/>
      <c r="Q354" s="4"/>
      <c r="R354" s="4"/>
      <c r="S354" s="4"/>
      <c r="T354" s="4"/>
      <c r="U354" s="4"/>
      <c r="V354" s="4"/>
      <c r="W354" s="4"/>
      <c r="X354" s="4"/>
      <c r="Y354" s="4"/>
      <c r="Z354" s="4"/>
      <c r="AA354" s="4"/>
      <c r="AB354" s="4"/>
    </row>
    <row r="355" spans="1:28" ht="13.5" customHeight="1">
      <c r="A355" s="4"/>
      <c r="B355" s="9"/>
      <c r="C355" s="9"/>
      <c r="D355" s="4"/>
      <c r="E355" s="4"/>
      <c r="F355" s="4"/>
      <c r="G355" s="4"/>
      <c r="H355" s="4"/>
      <c r="I355" s="4"/>
      <c r="J355" s="4"/>
      <c r="K355" s="4"/>
      <c r="L355" s="38"/>
      <c r="M355" s="4"/>
      <c r="N355" s="4"/>
      <c r="O355" s="4"/>
      <c r="P355" s="4"/>
      <c r="Q355" s="4"/>
      <c r="R355" s="4"/>
      <c r="S355" s="4"/>
      <c r="T355" s="4"/>
      <c r="U355" s="4"/>
      <c r="V355" s="4"/>
      <c r="W355" s="4"/>
      <c r="X355" s="4"/>
      <c r="Y355" s="4"/>
      <c r="Z355" s="4"/>
      <c r="AA355" s="4"/>
      <c r="AB355" s="4"/>
    </row>
    <row r="356" spans="1:28" ht="13.5" customHeight="1">
      <c r="A356" s="4"/>
      <c r="B356" s="9"/>
      <c r="C356" s="9"/>
      <c r="D356" s="4"/>
      <c r="E356" s="4"/>
      <c r="F356" s="4"/>
      <c r="G356" s="4"/>
      <c r="H356" s="4"/>
      <c r="I356" s="4"/>
      <c r="J356" s="4"/>
      <c r="K356" s="4"/>
      <c r="L356" s="38"/>
      <c r="M356" s="4"/>
      <c r="N356" s="4"/>
      <c r="O356" s="4"/>
      <c r="P356" s="4"/>
      <c r="Q356" s="4"/>
      <c r="R356" s="4"/>
      <c r="S356" s="4"/>
      <c r="T356" s="4"/>
      <c r="U356" s="4"/>
      <c r="V356" s="4"/>
      <c r="W356" s="4"/>
      <c r="X356" s="4"/>
      <c r="Y356" s="4"/>
      <c r="Z356" s="4"/>
      <c r="AA356" s="4"/>
      <c r="AB356" s="4"/>
    </row>
    <row r="357" spans="1:28" ht="13.5" customHeight="1">
      <c r="A357" s="4"/>
      <c r="B357" s="9"/>
      <c r="C357" s="9"/>
      <c r="D357" s="4"/>
      <c r="E357" s="4"/>
      <c r="F357" s="4"/>
      <c r="G357" s="4"/>
      <c r="H357" s="4"/>
      <c r="I357" s="4"/>
      <c r="J357" s="4"/>
      <c r="K357" s="4"/>
      <c r="L357" s="38"/>
      <c r="M357" s="4"/>
      <c r="N357" s="4"/>
      <c r="O357" s="4"/>
      <c r="P357" s="4"/>
      <c r="Q357" s="4"/>
      <c r="R357" s="4"/>
      <c r="S357" s="4"/>
      <c r="T357" s="4"/>
      <c r="U357" s="4"/>
      <c r="V357" s="4"/>
      <c r="W357" s="4"/>
      <c r="X357" s="4"/>
      <c r="Y357" s="4"/>
      <c r="Z357" s="4"/>
      <c r="AA357" s="4"/>
      <c r="AB357" s="4"/>
    </row>
    <row r="358" spans="1:28" ht="13.5" customHeight="1">
      <c r="A358" s="4"/>
      <c r="B358" s="9"/>
      <c r="C358" s="9"/>
      <c r="D358" s="4"/>
      <c r="E358" s="4"/>
      <c r="F358" s="4"/>
      <c r="G358" s="4"/>
      <c r="H358" s="4"/>
      <c r="I358" s="4"/>
      <c r="J358" s="4"/>
      <c r="K358" s="4"/>
      <c r="L358" s="38"/>
      <c r="M358" s="4"/>
      <c r="N358" s="4"/>
      <c r="O358" s="4"/>
      <c r="P358" s="4"/>
      <c r="Q358" s="4"/>
      <c r="R358" s="4"/>
      <c r="S358" s="4"/>
      <c r="T358" s="4"/>
      <c r="U358" s="4"/>
      <c r="V358" s="4"/>
      <c r="W358" s="4"/>
      <c r="X358" s="4"/>
      <c r="Y358" s="4"/>
      <c r="Z358" s="4"/>
      <c r="AA358" s="4"/>
      <c r="AB358" s="4"/>
    </row>
    <row r="359" spans="1:28" ht="13.5" customHeight="1">
      <c r="A359" s="4"/>
      <c r="B359" s="9"/>
      <c r="C359" s="9"/>
      <c r="D359" s="4"/>
      <c r="E359" s="4"/>
      <c r="F359" s="4"/>
      <c r="G359" s="4"/>
      <c r="H359" s="4"/>
      <c r="I359" s="4"/>
      <c r="J359" s="4"/>
      <c r="K359" s="4"/>
      <c r="L359" s="38"/>
      <c r="M359" s="4"/>
      <c r="N359" s="4"/>
      <c r="O359" s="4"/>
      <c r="P359" s="4"/>
      <c r="Q359" s="4"/>
      <c r="R359" s="4"/>
      <c r="S359" s="4"/>
      <c r="T359" s="4"/>
      <c r="U359" s="4"/>
      <c r="V359" s="4"/>
      <c r="W359" s="4"/>
      <c r="X359" s="4"/>
      <c r="Y359" s="4"/>
      <c r="Z359" s="4"/>
      <c r="AA359" s="4"/>
      <c r="AB359" s="4"/>
    </row>
    <row r="360" spans="1:28" ht="13.5" customHeight="1">
      <c r="A360" s="4"/>
      <c r="B360" s="9"/>
      <c r="C360" s="9"/>
      <c r="D360" s="4"/>
      <c r="E360" s="4"/>
      <c r="F360" s="4"/>
      <c r="G360" s="4"/>
      <c r="H360" s="4"/>
      <c r="I360" s="4"/>
      <c r="J360" s="4"/>
      <c r="K360" s="4"/>
      <c r="L360" s="38"/>
      <c r="M360" s="4"/>
      <c r="N360" s="4"/>
      <c r="O360" s="4"/>
      <c r="P360" s="4"/>
      <c r="Q360" s="4"/>
      <c r="R360" s="4"/>
      <c r="S360" s="4"/>
      <c r="T360" s="4"/>
      <c r="U360" s="4"/>
      <c r="V360" s="4"/>
      <c r="W360" s="4"/>
      <c r="X360" s="4"/>
      <c r="Y360" s="4"/>
      <c r="Z360" s="4"/>
      <c r="AA360" s="4"/>
      <c r="AB360" s="4"/>
    </row>
    <row r="361" spans="1:28" ht="13.5" customHeight="1">
      <c r="A361" s="4"/>
      <c r="B361" s="9"/>
      <c r="C361" s="9"/>
      <c r="D361" s="4"/>
      <c r="E361" s="4"/>
      <c r="F361" s="4"/>
      <c r="G361" s="4"/>
      <c r="H361" s="4"/>
      <c r="I361" s="4"/>
      <c r="J361" s="4"/>
      <c r="K361" s="4"/>
      <c r="L361" s="38"/>
      <c r="M361" s="4"/>
      <c r="N361" s="4"/>
      <c r="O361" s="4"/>
      <c r="P361" s="4"/>
      <c r="Q361" s="4"/>
      <c r="R361" s="4"/>
      <c r="S361" s="4"/>
      <c r="T361" s="4"/>
      <c r="U361" s="4"/>
      <c r="V361" s="4"/>
      <c r="W361" s="4"/>
      <c r="X361" s="4"/>
      <c r="Y361" s="4"/>
      <c r="Z361" s="4"/>
      <c r="AA361" s="4"/>
      <c r="AB361" s="4"/>
    </row>
    <row r="362" spans="1:28" ht="13.5" customHeight="1">
      <c r="A362" s="4"/>
      <c r="B362" s="9"/>
      <c r="C362" s="9"/>
      <c r="D362" s="4"/>
      <c r="E362" s="4"/>
      <c r="F362" s="4"/>
      <c r="G362" s="4"/>
      <c r="H362" s="4"/>
      <c r="I362" s="4"/>
      <c r="J362" s="4"/>
      <c r="K362" s="4"/>
      <c r="L362" s="38"/>
      <c r="M362" s="4"/>
      <c r="N362" s="4"/>
      <c r="O362" s="4"/>
      <c r="P362" s="4"/>
      <c r="Q362" s="4"/>
      <c r="R362" s="4"/>
      <c r="S362" s="4"/>
      <c r="T362" s="4"/>
      <c r="U362" s="4"/>
      <c r="V362" s="4"/>
      <c r="W362" s="4"/>
      <c r="X362" s="4"/>
      <c r="Y362" s="4"/>
      <c r="Z362" s="4"/>
      <c r="AA362" s="4"/>
      <c r="AB362" s="4"/>
    </row>
    <row r="363" spans="1:28" ht="13.5" customHeight="1">
      <c r="A363" s="4"/>
      <c r="B363" s="9"/>
      <c r="C363" s="9"/>
      <c r="D363" s="4"/>
      <c r="E363" s="4"/>
      <c r="F363" s="4"/>
      <c r="G363" s="4"/>
      <c r="H363" s="4"/>
      <c r="I363" s="4"/>
      <c r="J363" s="4"/>
      <c r="K363" s="4"/>
      <c r="L363" s="38"/>
      <c r="M363" s="4"/>
      <c r="N363" s="4"/>
      <c r="O363" s="4"/>
      <c r="P363" s="4"/>
      <c r="Q363" s="4"/>
      <c r="R363" s="4"/>
      <c r="S363" s="4"/>
      <c r="T363" s="4"/>
      <c r="U363" s="4"/>
      <c r="V363" s="4"/>
      <c r="W363" s="4"/>
      <c r="X363" s="4"/>
      <c r="Y363" s="4"/>
      <c r="Z363" s="4"/>
      <c r="AA363" s="4"/>
      <c r="AB363" s="4"/>
    </row>
    <row r="364" spans="1:28" ht="13.5" customHeight="1">
      <c r="A364" s="4"/>
      <c r="B364" s="9"/>
      <c r="C364" s="9"/>
      <c r="D364" s="4"/>
      <c r="E364" s="4"/>
      <c r="F364" s="4"/>
      <c r="G364" s="4"/>
      <c r="H364" s="4"/>
      <c r="I364" s="4"/>
      <c r="J364" s="4"/>
      <c r="K364" s="4"/>
      <c r="L364" s="38"/>
      <c r="M364" s="4"/>
      <c r="N364" s="4"/>
      <c r="O364" s="4"/>
      <c r="P364" s="4"/>
      <c r="Q364" s="4"/>
      <c r="R364" s="4"/>
      <c r="S364" s="4"/>
      <c r="T364" s="4"/>
      <c r="U364" s="4"/>
      <c r="V364" s="4"/>
      <c r="W364" s="4"/>
      <c r="X364" s="4"/>
      <c r="Y364" s="4"/>
      <c r="Z364" s="4"/>
      <c r="AA364" s="4"/>
      <c r="AB364" s="4"/>
    </row>
    <row r="365" spans="1:28" ht="13.5" customHeight="1">
      <c r="A365" s="4"/>
      <c r="B365" s="9"/>
      <c r="C365" s="9"/>
      <c r="D365" s="4"/>
      <c r="E365" s="4"/>
      <c r="F365" s="4"/>
      <c r="G365" s="4"/>
      <c r="H365" s="4"/>
      <c r="I365" s="4"/>
      <c r="J365" s="4"/>
      <c r="K365" s="4"/>
      <c r="L365" s="38"/>
      <c r="M365" s="4"/>
      <c r="N365" s="4"/>
      <c r="O365" s="4"/>
      <c r="P365" s="4"/>
      <c r="Q365" s="4"/>
      <c r="R365" s="4"/>
      <c r="S365" s="4"/>
      <c r="T365" s="4"/>
      <c r="U365" s="4"/>
      <c r="V365" s="4"/>
      <c r="W365" s="4"/>
      <c r="X365" s="4"/>
      <c r="Y365" s="4"/>
      <c r="Z365" s="4"/>
      <c r="AA365" s="4"/>
      <c r="AB365" s="4"/>
    </row>
    <row r="366" spans="1:28" ht="13.5" customHeight="1">
      <c r="A366" s="4"/>
      <c r="B366" s="9"/>
      <c r="C366" s="9"/>
      <c r="D366" s="4"/>
      <c r="E366" s="4"/>
      <c r="F366" s="4"/>
      <c r="G366" s="4"/>
      <c r="H366" s="4"/>
      <c r="I366" s="4"/>
      <c r="J366" s="4"/>
      <c r="K366" s="4"/>
      <c r="L366" s="38"/>
      <c r="M366" s="4"/>
      <c r="N366" s="4"/>
      <c r="O366" s="4"/>
      <c r="P366" s="4"/>
      <c r="Q366" s="4"/>
      <c r="R366" s="4"/>
      <c r="S366" s="4"/>
      <c r="T366" s="4"/>
      <c r="U366" s="4"/>
      <c r="V366" s="4"/>
      <c r="W366" s="4"/>
      <c r="X366" s="4"/>
      <c r="Y366" s="4"/>
      <c r="Z366" s="4"/>
      <c r="AA366" s="4"/>
      <c r="AB366" s="4"/>
    </row>
    <row r="367" spans="1:28" ht="13.5" customHeight="1">
      <c r="A367" s="4"/>
      <c r="B367" s="9"/>
      <c r="C367" s="9"/>
      <c r="D367" s="4"/>
      <c r="E367" s="4"/>
      <c r="F367" s="4"/>
      <c r="G367" s="4"/>
      <c r="H367" s="4"/>
      <c r="I367" s="4"/>
      <c r="J367" s="4"/>
      <c r="K367" s="4"/>
      <c r="L367" s="38"/>
      <c r="M367" s="4"/>
      <c r="N367" s="4"/>
      <c r="O367" s="4"/>
      <c r="P367" s="4"/>
      <c r="Q367" s="4"/>
      <c r="R367" s="4"/>
      <c r="S367" s="4"/>
      <c r="T367" s="4"/>
      <c r="U367" s="4"/>
      <c r="V367" s="4"/>
      <c r="W367" s="4"/>
      <c r="X367" s="4"/>
      <c r="Y367" s="4"/>
      <c r="Z367" s="4"/>
      <c r="AA367" s="4"/>
      <c r="AB367" s="4"/>
    </row>
    <row r="368" spans="1:28" ht="13.5" customHeight="1">
      <c r="A368" s="4"/>
      <c r="B368" s="9"/>
      <c r="C368" s="9"/>
      <c r="D368" s="4"/>
      <c r="E368" s="4"/>
      <c r="F368" s="4"/>
      <c r="G368" s="4"/>
      <c r="H368" s="4"/>
      <c r="I368" s="4"/>
      <c r="J368" s="4"/>
      <c r="K368" s="4"/>
      <c r="L368" s="38"/>
      <c r="M368" s="4"/>
      <c r="N368" s="4"/>
      <c r="O368" s="4"/>
      <c r="P368" s="4"/>
      <c r="Q368" s="4"/>
      <c r="R368" s="4"/>
      <c r="S368" s="4"/>
      <c r="T368" s="4"/>
      <c r="U368" s="4"/>
      <c r="V368" s="4"/>
      <c r="W368" s="4"/>
      <c r="X368" s="4"/>
      <c r="Y368" s="4"/>
      <c r="Z368" s="4"/>
      <c r="AA368" s="4"/>
      <c r="AB368" s="4"/>
    </row>
    <row r="369" spans="1:28" ht="13.5" customHeight="1">
      <c r="A369" s="4"/>
      <c r="B369" s="9"/>
      <c r="C369" s="9"/>
      <c r="D369" s="4"/>
      <c r="E369" s="4"/>
      <c r="F369" s="4"/>
      <c r="G369" s="4"/>
      <c r="H369" s="4"/>
      <c r="I369" s="4"/>
      <c r="J369" s="4"/>
      <c r="K369" s="4"/>
      <c r="L369" s="38"/>
      <c r="M369" s="4"/>
      <c r="N369" s="4"/>
      <c r="O369" s="4"/>
      <c r="P369" s="4"/>
      <c r="Q369" s="4"/>
      <c r="R369" s="4"/>
      <c r="S369" s="4"/>
      <c r="T369" s="4"/>
      <c r="U369" s="4"/>
      <c r="V369" s="4"/>
      <c r="W369" s="4"/>
      <c r="X369" s="4"/>
      <c r="Y369" s="4"/>
      <c r="Z369" s="4"/>
      <c r="AA369" s="4"/>
      <c r="AB369" s="4"/>
    </row>
    <row r="370" spans="1:28" ht="13.5" customHeight="1">
      <c r="A370" s="4"/>
      <c r="B370" s="9"/>
      <c r="C370" s="9"/>
      <c r="D370" s="4"/>
      <c r="E370" s="4"/>
      <c r="F370" s="4"/>
      <c r="G370" s="4"/>
      <c r="H370" s="4"/>
      <c r="I370" s="4"/>
      <c r="J370" s="4"/>
      <c r="K370" s="4"/>
      <c r="L370" s="38"/>
      <c r="M370" s="4"/>
      <c r="N370" s="4"/>
      <c r="O370" s="4"/>
      <c r="P370" s="4"/>
      <c r="Q370" s="4"/>
      <c r="R370" s="4"/>
      <c r="S370" s="4"/>
      <c r="T370" s="4"/>
      <c r="U370" s="4"/>
      <c r="V370" s="4"/>
      <c r="W370" s="4"/>
      <c r="X370" s="4"/>
      <c r="Y370" s="4"/>
      <c r="Z370" s="4"/>
      <c r="AA370" s="4"/>
      <c r="AB370" s="4"/>
    </row>
    <row r="371" spans="1:28" ht="13.5" customHeight="1">
      <c r="A371" s="4"/>
      <c r="B371" s="9"/>
      <c r="C371" s="9"/>
      <c r="D371" s="4"/>
      <c r="E371" s="4"/>
      <c r="F371" s="4"/>
      <c r="G371" s="4"/>
      <c r="H371" s="4"/>
      <c r="I371" s="4"/>
      <c r="J371" s="4"/>
      <c r="K371" s="4"/>
      <c r="L371" s="38"/>
      <c r="M371" s="4"/>
      <c r="N371" s="4"/>
      <c r="O371" s="4"/>
      <c r="P371" s="4"/>
      <c r="Q371" s="4"/>
      <c r="R371" s="4"/>
      <c r="S371" s="4"/>
      <c r="T371" s="4"/>
      <c r="U371" s="4"/>
      <c r="V371" s="4"/>
      <c r="W371" s="4"/>
      <c r="X371" s="4"/>
      <c r="Y371" s="4"/>
      <c r="Z371" s="4"/>
      <c r="AA371" s="4"/>
      <c r="AB371" s="4"/>
    </row>
    <row r="372" spans="1:28" ht="13.5" customHeight="1">
      <c r="A372" s="4"/>
      <c r="B372" s="9"/>
      <c r="C372" s="9"/>
      <c r="D372" s="4"/>
      <c r="E372" s="4"/>
      <c r="F372" s="4"/>
      <c r="G372" s="4"/>
      <c r="H372" s="4"/>
      <c r="I372" s="4"/>
      <c r="J372" s="4"/>
      <c r="K372" s="4"/>
      <c r="L372" s="38"/>
      <c r="M372" s="4"/>
      <c r="N372" s="4"/>
      <c r="O372" s="4"/>
      <c r="P372" s="4"/>
      <c r="Q372" s="4"/>
      <c r="R372" s="4"/>
      <c r="S372" s="4"/>
      <c r="T372" s="4"/>
      <c r="U372" s="4"/>
      <c r="V372" s="4"/>
      <c r="W372" s="4"/>
      <c r="X372" s="4"/>
      <c r="Y372" s="4"/>
      <c r="Z372" s="4"/>
      <c r="AA372" s="4"/>
      <c r="AB372" s="4"/>
    </row>
    <row r="373" spans="1:28" ht="13.5" customHeight="1">
      <c r="A373" s="4"/>
      <c r="B373" s="9"/>
      <c r="C373" s="9"/>
      <c r="D373" s="4"/>
      <c r="E373" s="4"/>
      <c r="F373" s="4"/>
      <c r="G373" s="4"/>
      <c r="H373" s="4"/>
      <c r="I373" s="4"/>
      <c r="J373" s="4"/>
      <c r="K373" s="4"/>
      <c r="L373" s="38"/>
      <c r="M373" s="4"/>
      <c r="N373" s="4"/>
      <c r="O373" s="4"/>
      <c r="P373" s="4"/>
      <c r="Q373" s="4"/>
      <c r="R373" s="4"/>
      <c r="S373" s="4"/>
      <c r="T373" s="4"/>
      <c r="U373" s="4"/>
      <c r="V373" s="4"/>
      <c r="W373" s="4"/>
      <c r="X373" s="4"/>
      <c r="Y373" s="4"/>
      <c r="Z373" s="4"/>
      <c r="AA373" s="4"/>
      <c r="AB373" s="4"/>
    </row>
    <row r="374" spans="1:28" ht="13.5" customHeight="1">
      <c r="A374" s="4"/>
      <c r="B374" s="9"/>
      <c r="C374" s="9"/>
      <c r="D374" s="4"/>
      <c r="E374" s="4"/>
      <c r="F374" s="4"/>
      <c r="G374" s="4"/>
      <c r="H374" s="4"/>
      <c r="I374" s="4"/>
      <c r="J374" s="4"/>
      <c r="K374" s="4"/>
      <c r="L374" s="38"/>
      <c r="M374" s="4"/>
      <c r="N374" s="4"/>
      <c r="O374" s="4"/>
      <c r="P374" s="4"/>
      <c r="Q374" s="4"/>
      <c r="R374" s="4"/>
      <c r="S374" s="4"/>
      <c r="T374" s="4"/>
      <c r="U374" s="4"/>
      <c r="V374" s="4"/>
      <c r="W374" s="4"/>
      <c r="X374" s="4"/>
      <c r="Y374" s="4"/>
      <c r="Z374" s="4"/>
      <c r="AA374" s="4"/>
      <c r="AB374" s="4"/>
    </row>
    <row r="375" spans="1:28" ht="13.5" customHeight="1">
      <c r="A375" s="4"/>
      <c r="B375" s="9"/>
      <c r="C375" s="9"/>
      <c r="D375" s="4"/>
      <c r="E375" s="4"/>
      <c r="F375" s="4"/>
      <c r="G375" s="4"/>
      <c r="H375" s="4"/>
      <c r="I375" s="4"/>
      <c r="J375" s="4"/>
      <c r="K375" s="4"/>
      <c r="L375" s="38"/>
      <c r="M375" s="4"/>
      <c r="N375" s="4"/>
      <c r="O375" s="4"/>
      <c r="P375" s="4"/>
      <c r="Q375" s="4"/>
      <c r="R375" s="4"/>
      <c r="S375" s="4"/>
      <c r="T375" s="4"/>
      <c r="U375" s="4"/>
      <c r="V375" s="4"/>
      <c r="W375" s="4"/>
      <c r="X375" s="4"/>
      <c r="Y375" s="4"/>
      <c r="Z375" s="4"/>
      <c r="AA375" s="4"/>
      <c r="AB375" s="4"/>
    </row>
    <row r="376" spans="1:28" ht="13.5" customHeight="1">
      <c r="A376" s="4"/>
      <c r="B376" s="9"/>
      <c r="C376" s="9"/>
      <c r="D376" s="4"/>
      <c r="E376" s="4"/>
      <c r="F376" s="4"/>
      <c r="G376" s="4"/>
      <c r="H376" s="4"/>
      <c r="I376" s="4"/>
      <c r="J376" s="4"/>
      <c r="K376" s="4"/>
      <c r="L376" s="38"/>
      <c r="M376" s="4"/>
      <c r="N376" s="4"/>
      <c r="O376" s="4"/>
      <c r="P376" s="4"/>
      <c r="Q376" s="4"/>
      <c r="R376" s="4"/>
      <c r="S376" s="4"/>
      <c r="T376" s="4"/>
      <c r="U376" s="4"/>
      <c r="V376" s="4"/>
      <c r="W376" s="4"/>
      <c r="X376" s="4"/>
      <c r="Y376" s="4"/>
      <c r="Z376" s="4"/>
      <c r="AA376" s="4"/>
      <c r="AB376" s="4"/>
    </row>
    <row r="377" spans="1:28" ht="13.5" customHeight="1">
      <c r="A377" s="4"/>
      <c r="B377" s="9"/>
      <c r="C377" s="9"/>
      <c r="D377" s="4"/>
      <c r="E377" s="4"/>
      <c r="F377" s="4"/>
      <c r="G377" s="4"/>
      <c r="H377" s="4"/>
      <c r="I377" s="4"/>
      <c r="J377" s="4"/>
      <c r="K377" s="4"/>
      <c r="L377" s="38"/>
      <c r="M377" s="4"/>
      <c r="N377" s="4"/>
      <c r="O377" s="4"/>
      <c r="P377" s="4"/>
      <c r="Q377" s="4"/>
      <c r="R377" s="4"/>
      <c r="S377" s="4"/>
      <c r="T377" s="4"/>
      <c r="U377" s="4"/>
      <c r="V377" s="4"/>
      <c r="W377" s="4"/>
      <c r="X377" s="4"/>
      <c r="Y377" s="4"/>
      <c r="Z377" s="4"/>
      <c r="AA377" s="4"/>
      <c r="AB377" s="4"/>
    </row>
    <row r="378" spans="1:28" ht="13.5" customHeight="1">
      <c r="A378" s="4"/>
      <c r="B378" s="9"/>
      <c r="C378" s="9"/>
      <c r="D378" s="4"/>
      <c r="E378" s="4"/>
      <c r="F378" s="4"/>
      <c r="G378" s="4"/>
      <c r="H378" s="4"/>
      <c r="I378" s="4"/>
      <c r="J378" s="4"/>
      <c r="K378" s="4"/>
      <c r="L378" s="38"/>
      <c r="M378" s="4"/>
      <c r="N378" s="4"/>
      <c r="O378" s="4"/>
      <c r="P378" s="4"/>
      <c r="Q378" s="4"/>
      <c r="R378" s="4"/>
      <c r="S378" s="4"/>
      <c r="T378" s="4"/>
      <c r="U378" s="4"/>
      <c r="V378" s="4"/>
      <c r="W378" s="4"/>
      <c r="X378" s="4"/>
      <c r="Y378" s="4"/>
      <c r="Z378" s="4"/>
      <c r="AA378" s="4"/>
      <c r="AB378" s="4"/>
    </row>
    <row r="379" spans="1:28" ht="13.5" customHeight="1">
      <c r="A379" s="4"/>
      <c r="B379" s="9"/>
      <c r="C379" s="9"/>
      <c r="D379" s="4"/>
      <c r="E379" s="4"/>
      <c r="F379" s="4"/>
      <c r="G379" s="4"/>
      <c r="H379" s="4"/>
      <c r="I379" s="4"/>
      <c r="J379" s="4"/>
      <c r="K379" s="4"/>
      <c r="L379" s="38"/>
      <c r="M379" s="4"/>
      <c r="N379" s="4"/>
      <c r="O379" s="4"/>
      <c r="P379" s="4"/>
      <c r="Q379" s="4"/>
      <c r="R379" s="4"/>
      <c r="S379" s="4"/>
      <c r="T379" s="4"/>
      <c r="U379" s="4"/>
      <c r="V379" s="4"/>
      <c r="W379" s="4"/>
      <c r="X379" s="4"/>
      <c r="Y379" s="4"/>
      <c r="Z379" s="4"/>
      <c r="AA379" s="4"/>
      <c r="AB379" s="4"/>
    </row>
    <row r="380" spans="1:28" ht="13.5" customHeight="1">
      <c r="A380" s="4"/>
      <c r="B380" s="9"/>
      <c r="C380" s="9"/>
      <c r="D380" s="4"/>
      <c r="E380" s="4"/>
      <c r="F380" s="4"/>
      <c r="G380" s="4"/>
      <c r="H380" s="4"/>
      <c r="I380" s="4"/>
      <c r="J380" s="4"/>
      <c r="K380" s="4"/>
      <c r="L380" s="38"/>
      <c r="M380" s="4"/>
      <c r="N380" s="4"/>
      <c r="O380" s="4"/>
      <c r="P380" s="4"/>
      <c r="Q380" s="4"/>
      <c r="R380" s="4"/>
      <c r="S380" s="4"/>
      <c r="T380" s="4"/>
      <c r="U380" s="4"/>
      <c r="V380" s="4"/>
      <c r="W380" s="4"/>
      <c r="X380" s="4"/>
      <c r="Y380" s="4"/>
      <c r="Z380" s="4"/>
      <c r="AA380" s="4"/>
      <c r="AB380" s="4"/>
    </row>
    <row r="381" spans="1:28" ht="13.5" customHeight="1">
      <c r="A381" s="4"/>
      <c r="B381" s="9"/>
      <c r="C381" s="9"/>
      <c r="D381" s="4"/>
      <c r="E381" s="4"/>
      <c r="F381" s="4"/>
      <c r="G381" s="4"/>
      <c r="H381" s="4"/>
      <c r="I381" s="4"/>
      <c r="J381" s="4"/>
      <c r="K381" s="4"/>
      <c r="L381" s="38"/>
      <c r="M381" s="4"/>
      <c r="N381" s="4"/>
      <c r="O381" s="4"/>
      <c r="P381" s="4"/>
      <c r="Q381" s="4"/>
      <c r="R381" s="4"/>
      <c r="S381" s="4"/>
      <c r="T381" s="4"/>
      <c r="U381" s="4"/>
      <c r="V381" s="4"/>
      <c r="W381" s="4"/>
      <c r="X381" s="4"/>
      <c r="Y381" s="4"/>
      <c r="Z381" s="4"/>
      <c r="AA381" s="4"/>
      <c r="AB381" s="4"/>
    </row>
    <row r="382" spans="1:28" ht="13.5" customHeight="1">
      <c r="A382" s="4"/>
      <c r="B382" s="9"/>
      <c r="C382" s="9"/>
      <c r="D382" s="4"/>
      <c r="E382" s="4"/>
      <c r="F382" s="4"/>
      <c r="G382" s="4"/>
      <c r="H382" s="4"/>
      <c r="I382" s="4"/>
      <c r="J382" s="4"/>
      <c r="K382" s="4"/>
      <c r="L382" s="38"/>
      <c r="M382" s="4"/>
      <c r="N382" s="4"/>
      <c r="O382" s="4"/>
      <c r="P382" s="4"/>
      <c r="Q382" s="4"/>
      <c r="R382" s="4"/>
      <c r="S382" s="4"/>
      <c r="T382" s="4"/>
      <c r="U382" s="4"/>
      <c r="V382" s="4"/>
      <c r="W382" s="4"/>
      <c r="X382" s="4"/>
      <c r="Y382" s="4"/>
      <c r="Z382" s="4"/>
      <c r="AA382" s="4"/>
      <c r="AB382" s="4"/>
    </row>
    <row r="383" spans="1:28" ht="13.5" customHeight="1">
      <c r="A383" s="4"/>
      <c r="B383" s="9"/>
      <c r="C383" s="9"/>
      <c r="D383" s="4"/>
      <c r="E383" s="4"/>
      <c r="F383" s="4"/>
      <c r="G383" s="4"/>
      <c r="H383" s="4"/>
      <c r="I383" s="4"/>
      <c r="J383" s="4"/>
      <c r="K383" s="4"/>
      <c r="L383" s="38"/>
      <c r="M383" s="4"/>
      <c r="N383" s="4"/>
      <c r="O383" s="4"/>
      <c r="P383" s="4"/>
      <c r="Q383" s="4"/>
      <c r="R383" s="4"/>
      <c r="S383" s="4"/>
      <c r="T383" s="4"/>
      <c r="U383" s="4"/>
      <c r="V383" s="4"/>
      <c r="W383" s="4"/>
      <c r="X383" s="4"/>
      <c r="Y383" s="4"/>
      <c r="Z383" s="4"/>
      <c r="AA383" s="4"/>
      <c r="AB383" s="4"/>
    </row>
    <row r="384" spans="1:28" ht="13.5" customHeight="1">
      <c r="A384" s="4"/>
      <c r="B384" s="9"/>
      <c r="C384" s="9"/>
      <c r="D384" s="4"/>
      <c r="E384" s="4"/>
      <c r="F384" s="4"/>
      <c r="G384" s="4"/>
      <c r="H384" s="4"/>
      <c r="I384" s="4"/>
      <c r="J384" s="4"/>
      <c r="K384" s="4"/>
      <c r="L384" s="38"/>
      <c r="M384" s="4"/>
      <c r="N384" s="4"/>
      <c r="O384" s="4"/>
      <c r="P384" s="4"/>
      <c r="Q384" s="4"/>
      <c r="R384" s="4"/>
      <c r="S384" s="4"/>
      <c r="T384" s="4"/>
      <c r="U384" s="4"/>
      <c r="V384" s="4"/>
      <c r="W384" s="4"/>
      <c r="X384" s="4"/>
      <c r="Y384" s="4"/>
      <c r="Z384" s="4"/>
      <c r="AA384" s="4"/>
      <c r="AB384" s="4"/>
    </row>
    <row r="385" spans="1:28" ht="13.5" customHeight="1">
      <c r="A385" s="4"/>
      <c r="B385" s="9"/>
      <c r="C385" s="9"/>
      <c r="D385" s="4"/>
      <c r="E385" s="4"/>
      <c r="F385" s="4"/>
      <c r="G385" s="4"/>
      <c r="H385" s="4"/>
      <c r="I385" s="4"/>
      <c r="J385" s="4"/>
      <c r="K385" s="4"/>
      <c r="L385" s="38"/>
      <c r="M385" s="4"/>
      <c r="N385" s="4"/>
      <c r="O385" s="4"/>
      <c r="P385" s="4"/>
      <c r="Q385" s="4"/>
      <c r="R385" s="4"/>
      <c r="S385" s="4"/>
      <c r="T385" s="4"/>
      <c r="U385" s="4"/>
      <c r="V385" s="4"/>
      <c r="W385" s="4"/>
      <c r="X385" s="4"/>
      <c r="Y385" s="4"/>
      <c r="Z385" s="4"/>
      <c r="AA385" s="4"/>
      <c r="AB385" s="4"/>
    </row>
    <row r="386" spans="1:28" ht="13.5" customHeight="1">
      <c r="A386" s="4"/>
      <c r="B386" s="9"/>
      <c r="C386" s="9"/>
      <c r="D386" s="4"/>
      <c r="E386" s="4"/>
      <c r="F386" s="4"/>
      <c r="G386" s="4"/>
      <c r="H386" s="4"/>
      <c r="I386" s="4"/>
      <c r="J386" s="4"/>
      <c r="K386" s="4"/>
      <c r="L386" s="38"/>
      <c r="M386" s="4"/>
      <c r="N386" s="4"/>
      <c r="O386" s="4"/>
      <c r="P386" s="4"/>
      <c r="Q386" s="4"/>
      <c r="R386" s="4"/>
      <c r="S386" s="4"/>
      <c r="T386" s="4"/>
      <c r="U386" s="4"/>
      <c r="V386" s="4"/>
      <c r="W386" s="4"/>
      <c r="X386" s="4"/>
      <c r="Y386" s="4"/>
      <c r="Z386" s="4"/>
      <c r="AA386" s="4"/>
      <c r="AB386" s="4"/>
    </row>
    <row r="387" spans="1:28" ht="13.5" customHeight="1">
      <c r="A387" s="4"/>
      <c r="B387" s="9"/>
      <c r="C387" s="9"/>
      <c r="D387" s="4"/>
      <c r="E387" s="4"/>
      <c r="F387" s="4"/>
      <c r="G387" s="4"/>
      <c r="H387" s="4"/>
      <c r="I387" s="4"/>
      <c r="J387" s="4"/>
      <c r="K387" s="4"/>
      <c r="L387" s="38"/>
      <c r="M387" s="4"/>
      <c r="N387" s="4"/>
      <c r="O387" s="4"/>
      <c r="P387" s="4"/>
      <c r="Q387" s="4"/>
      <c r="R387" s="4"/>
      <c r="S387" s="4"/>
      <c r="T387" s="4"/>
      <c r="U387" s="4"/>
      <c r="V387" s="4"/>
      <c r="W387" s="4"/>
      <c r="X387" s="4"/>
      <c r="Y387" s="4"/>
      <c r="Z387" s="4"/>
      <c r="AA387" s="4"/>
      <c r="AB387" s="4"/>
    </row>
    <row r="388" spans="1:28" ht="13.5" customHeight="1">
      <c r="A388" s="4"/>
      <c r="B388" s="9"/>
      <c r="C388" s="9"/>
      <c r="D388" s="4"/>
      <c r="E388" s="4"/>
      <c r="F388" s="4"/>
      <c r="G388" s="4"/>
      <c r="H388" s="4"/>
      <c r="I388" s="4"/>
      <c r="J388" s="4"/>
      <c r="K388" s="4"/>
      <c r="L388" s="38"/>
      <c r="M388" s="4"/>
      <c r="N388" s="4"/>
      <c r="O388" s="4"/>
      <c r="P388" s="4"/>
      <c r="Q388" s="4"/>
      <c r="R388" s="4"/>
      <c r="S388" s="4"/>
      <c r="T388" s="4"/>
      <c r="U388" s="4"/>
      <c r="V388" s="4"/>
      <c r="W388" s="4"/>
      <c r="X388" s="4"/>
      <c r="Y388" s="4"/>
      <c r="Z388" s="4"/>
      <c r="AA388" s="4"/>
      <c r="AB388" s="4"/>
    </row>
    <row r="389" spans="1:28" ht="13.5" customHeight="1">
      <c r="A389" s="4"/>
      <c r="B389" s="9"/>
      <c r="C389" s="9"/>
      <c r="D389" s="4"/>
      <c r="E389" s="4"/>
      <c r="F389" s="4"/>
      <c r="G389" s="4"/>
      <c r="H389" s="4"/>
      <c r="I389" s="4"/>
      <c r="J389" s="4"/>
      <c r="K389" s="4"/>
      <c r="L389" s="38"/>
      <c r="M389" s="4"/>
      <c r="N389" s="4"/>
      <c r="O389" s="4"/>
      <c r="P389" s="4"/>
      <c r="Q389" s="4"/>
      <c r="R389" s="4"/>
      <c r="S389" s="4"/>
      <c r="T389" s="4"/>
      <c r="U389" s="4"/>
      <c r="V389" s="4"/>
      <c r="W389" s="4"/>
      <c r="X389" s="4"/>
      <c r="Y389" s="4"/>
      <c r="Z389" s="4"/>
      <c r="AA389" s="4"/>
      <c r="AB389" s="4"/>
    </row>
    <row r="390" spans="1:28" ht="13.5" customHeight="1">
      <c r="A390" s="4"/>
      <c r="B390" s="9"/>
      <c r="C390" s="9"/>
      <c r="D390" s="4"/>
      <c r="E390" s="4"/>
      <c r="F390" s="4"/>
      <c r="G390" s="4"/>
      <c r="H390" s="4"/>
      <c r="I390" s="4"/>
      <c r="J390" s="4"/>
      <c r="K390" s="4"/>
      <c r="L390" s="38"/>
      <c r="M390" s="4"/>
      <c r="N390" s="4"/>
      <c r="O390" s="4"/>
      <c r="P390" s="4"/>
      <c r="Q390" s="4"/>
      <c r="R390" s="4"/>
      <c r="S390" s="4"/>
      <c r="T390" s="4"/>
      <c r="U390" s="4"/>
      <c r="V390" s="4"/>
      <c r="W390" s="4"/>
      <c r="X390" s="4"/>
      <c r="Y390" s="4"/>
      <c r="Z390" s="4"/>
      <c r="AA390" s="4"/>
      <c r="AB390" s="4"/>
    </row>
    <row r="391" spans="1:28" ht="13.5" customHeight="1">
      <c r="A391" s="4"/>
      <c r="B391" s="9"/>
      <c r="C391" s="9"/>
      <c r="D391" s="4"/>
      <c r="E391" s="4"/>
      <c r="F391" s="4"/>
      <c r="G391" s="4"/>
      <c r="H391" s="4"/>
      <c r="I391" s="4"/>
      <c r="J391" s="4"/>
      <c r="K391" s="4"/>
      <c r="L391" s="38"/>
      <c r="M391" s="4"/>
      <c r="N391" s="4"/>
      <c r="O391" s="4"/>
      <c r="P391" s="4"/>
      <c r="Q391" s="4"/>
      <c r="R391" s="4"/>
      <c r="S391" s="4"/>
      <c r="T391" s="4"/>
      <c r="U391" s="4"/>
      <c r="V391" s="4"/>
      <c r="W391" s="4"/>
      <c r="X391" s="4"/>
      <c r="Y391" s="4"/>
      <c r="Z391" s="4"/>
      <c r="AA391" s="4"/>
      <c r="AB391" s="4"/>
    </row>
    <row r="392" spans="1:28" ht="13.5" customHeight="1">
      <c r="A392" s="4"/>
      <c r="B392" s="9"/>
      <c r="C392" s="9"/>
      <c r="D392" s="4"/>
      <c r="E392" s="4"/>
      <c r="F392" s="4"/>
      <c r="G392" s="4"/>
      <c r="H392" s="4"/>
      <c r="I392" s="4"/>
      <c r="J392" s="4"/>
      <c r="K392" s="4"/>
      <c r="L392" s="38"/>
      <c r="M392" s="4"/>
      <c r="N392" s="4"/>
      <c r="O392" s="4"/>
      <c r="P392" s="4"/>
      <c r="Q392" s="4"/>
      <c r="R392" s="4"/>
      <c r="S392" s="4"/>
      <c r="T392" s="4"/>
      <c r="U392" s="4"/>
      <c r="V392" s="4"/>
      <c r="W392" s="4"/>
      <c r="X392" s="4"/>
      <c r="Y392" s="4"/>
      <c r="Z392" s="4"/>
      <c r="AA392" s="4"/>
      <c r="AB392" s="4"/>
    </row>
    <row r="393" spans="1:28" ht="13.5" customHeight="1">
      <c r="A393" s="4"/>
      <c r="B393" s="9"/>
      <c r="C393" s="9"/>
      <c r="D393" s="4"/>
      <c r="E393" s="4"/>
      <c r="F393" s="4"/>
      <c r="G393" s="4"/>
      <c r="H393" s="4"/>
      <c r="I393" s="4"/>
      <c r="J393" s="4"/>
      <c r="K393" s="4"/>
      <c r="L393" s="38"/>
      <c r="M393" s="4"/>
      <c r="N393" s="4"/>
      <c r="O393" s="4"/>
      <c r="P393" s="4"/>
      <c r="Q393" s="4"/>
      <c r="R393" s="4"/>
      <c r="S393" s="4"/>
      <c r="T393" s="4"/>
      <c r="U393" s="4"/>
      <c r="V393" s="4"/>
      <c r="W393" s="4"/>
      <c r="X393" s="4"/>
      <c r="Y393" s="4"/>
      <c r="Z393" s="4"/>
      <c r="AA393" s="4"/>
      <c r="AB393" s="4"/>
    </row>
    <row r="394" spans="1:28" ht="13.5" customHeight="1">
      <c r="A394" s="4"/>
      <c r="B394" s="9"/>
      <c r="C394" s="9"/>
      <c r="D394" s="4"/>
      <c r="E394" s="4"/>
      <c r="F394" s="4"/>
      <c r="G394" s="4"/>
      <c r="H394" s="4"/>
      <c r="I394" s="4"/>
      <c r="J394" s="4"/>
      <c r="K394" s="4"/>
      <c r="L394" s="38"/>
      <c r="M394" s="4"/>
      <c r="N394" s="4"/>
      <c r="O394" s="4"/>
      <c r="P394" s="4"/>
      <c r="Q394" s="4"/>
      <c r="R394" s="4"/>
      <c r="S394" s="4"/>
      <c r="T394" s="4"/>
      <c r="U394" s="4"/>
      <c r="V394" s="4"/>
      <c r="W394" s="4"/>
      <c r="X394" s="4"/>
      <c r="Y394" s="4"/>
      <c r="Z394" s="4"/>
      <c r="AA394" s="4"/>
      <c r="AB394" s="4"/>
    </row>
    <row r="395" spans="1:28" ht="13.5" customHeight="1">
      <c r="A395" s="4"/>
      <c r="B395" s="9"/>
      <c r="C395" s="9"/>
      <c r="D395" s="4"/>
      <c r="E395" s="4"/>
      <c r="F395" s="4"/>
      <c r="G395" s="4"/>
      <c r="H395" s="4"/>
      <c r="I395" s="4"/>
      <c r="J395" s="4"/>
      <c r="K395" s="4"/>
      <c r="L395" s="38"/>
      <c r="M395" s="4"/>
      <c r="N395" s="4"/>
      <c r="O395" s="4"/>
      <c r="P395" s="4"/>
      <c r="Q395" s="4"/>
      <c r="R395" s="4"/>
      <c r="S395" s="4"/>
      <c r="T395" s="4"/>
      <c r="U395" s="4"/>
      <c r="V395" s="4"/>
      <c r="W395" s="4"/>
      <c r="X395" s="4"/>
      <c r="Y395" s="4"/>
      <c r="Z395" s="4"/>
      <c r="AA395" s="4"/>
      <c r="AB395" s="4"/>
    </row>
    <row r="396" spans="1:28" ht="13.5" customHeight="1">
      <c r="A396" s="4"/>
      <c r="B396" s="9"/>
      <c r="C396" s="9"/>
      <c r="D396" s="4"/>
      <c r="E396" s="4"/>
      <c r="F396" s="4"/>
      <c r="G396" s="4"/>
      <c r="H396" s="4"/>
      <c r="I396" s="4"/>
      <c r="J396" s="4"/>
      <c r="K396" s="4"/>
      <c r="L396" s="38"/>
      <c r="M396" s="4"/>
      <c r="N396" s="4"/>
      <c r="O396" s="4"/>
      <c r="P396" s="4"/>
      <c r="Q396" s="4"/>
      <c r="R396" s="4"/>
      <c r="S396" s="4"/>
      <c r="T396" s="4"/>
      <c r="U396" s="4"/>
      <c r="V396" s="4"/>
      <c r="W396" s="4"/>
      <c r="X396" s="4"/>
      <c r="Y396" s="4"/>
      <c r="Z396" s="4"/>
      <c r="AA396" s="4"/>
      <c r="AB396" s="4"/>
    </row>
    <row r="397" spans="1:28" ht="13.5" customHeight="1">
      <c r="A397" s="4"/>
      <c r="B397" s="9"/>
      <c r="C397" s="9"/>
      <c r="D397" s="4"/>
      <c r="E397" s="4"/>
      <c r="F397" s="4"/>
      <c r="G397" s="4"/>
      <c r="H397" s="4"/>
      <c r="I397" s="4"/>
      <c r="J397" s="4"/>
      <c r="K397" s="4"/>
      <c r="L397" s="38"/>
      <c r="M397" s="4"/>
      <c r="N397" s="4"/>
      <c r="O397" s="4"/>
      <c r="P397" s="4"/>
      <c r="Q397" s="4"/>
      <c r="R397" s="4"/>
      <c r="S397" s="4"/>
      <c r="T397" s="4"/>
      <c r="U397" s="4"/>
      <c r="V397" s="4"/>
      <c r="W397" s="4"/>
      <c r="X397" s="4"/>
      <c r="Y397" s="4"/>
      <c r="Z397" s="4"/>
      <c r="AA397" s="4"/>
      <c r="AB397" s="4"/>
    </row>
    <row r="398" spans="1:28" ht="13.5" customHeight="1">
      <c r="A398" s="4"/>
      <c r="B398" s="9"/>
      <c r="C398" s="9"/>
      <c r="D398" s="4"/>
      <c r="E398" s="4"/>
      <c r="F398" s="4"/>
      <c r="G398" s="4"/>
      <c r="H398" s="4"/>
      <c r="I398" s="4"/>
      <c r="J398" s="4"/>
      <c r="K398" s="4"/>
      <c r="L398" s="38"/>
      <c r="M398" s="4"/>
      <c r="N398" s="4"/>
      <c r="O398" s="4"/>
      <c r="P398" s="4"/>
      <c r="Q398" s="4"/>
      <c r="R398" s="4"/>
      <c r="S398" s="4"/>
      <c r="T398" s="4"/>
      <c r="U398" s="4"/>
      <c r="V398" s="4"/>
      <c r="W398" s="4"/>
      <c r="X398" s="4"/>
      <c r="Y398" s="4"/>
      <c r="Z398" s="4"/>
      <c r="AA398" s="4"/>
      <c r="AB398" s="4"/>
    </row>
    <row r="399" spans="1:28" ht="13.5" customHeight="1">
      <c r="A399" s="4"/>
      <c r="B399" s="9"/>
      <c r="C399" s="9"/>
      <c r="D399" s="4"/>
      <c r="E399" s="4"/>
      <c r="F399" s="4"/>
      <c r="G399" s="4"/>
      <c r="H399" s="4"/>
      <c r="I399" s="4"/>
      <c r="J399" s="4"/>
      <c r="K399" s="4"/>
      <c r="L399" s="38"/>
      <c r="M399" s="4"/>
      <c r="N399" s="4"/>
      <c r="O399" s="4"/>
      <c r="P399" s="4"/>
      <c r="Q399" s="4"/>
      <c r="R399" s="4"/>
      <c r="S399" s="4"/>
      <c r="T399" s="4"/>
      <c r="U399" s="4"/>
      <c r="V399" s="4"/>
      <c r="W399" s="4"/>
      <c r="X399" s="4"/>
      <c r="Y399" s="4"/>
      <c r="Z399" s="4"/>
      <c r="AA399" s="4"/>
      <c r="AB399" s="4"/>
    </row>
    <row r="400" spans="1:28" ht="13.5" customHeight="1">
      <c r="A400" s="4"/>
      <c r="B400" s="9"/>
      <c r="C400" s="9"/>
      <c r="D400" s="4"/>
      <c r="E400" s="4"/>
      <c r="F400" s="4"/>
      <c r="G400" s="4"/>
      <c r="H400" s="4"/>
      <c r="I400" s="4"/>
      <c r="J400" s="4"/>
      <c r="K400" s="4"/>
      <c r="L400" s="38"/>
      <c r="M400" s="4"/>
      <c r="N400" s="4"/>
      <c r="O400" s="4"/>
      <c r="P400" s="4"/>
      <c r="Q400" s="4"/>
      <c r="R400" s="4"/>
      <c r="S400" s="4"/>
      <c r="T400" s="4"/>
      <c r="U400" s="4"/>
      <c r="V400" s="4"/>
      <c r="W400" s="4"/>
      <c r="X400" s="4"/>
      <c r="Y400" s="4"/>
      <c r="Z400" s="4"/>
      <c r="AA400" s="4"/>
      <c r="AB400" s="4"/>
    </row>
    <row r="401" spans="1:28" ht="13.5" customHeight="1">
      <c r="A401" s="4"/>
      <c r="B401" s="9"/>
      <c r="C401" s="9"/>
      <c r="D401" s="4"/>
      <c r="E401" s="4"/>
      <c r="F401" s="4"/>
      <c r="G401" s="4"/>
      <c r="H401" s="4"/>
      <c r="I401" s="4"/>
      <c r="J401" s="4"/>
      <c r="K401" s="4"/>
      <c r="L401" s="38"/>
      <c r="M401" s="4"/>
      <c r="N401" s="4"/>
      <c r="O401" s="4"/>
      <c r="P401" s="4"/>
      <c r="Q401" s="4"/>
      <c r="R401" s="4"/>
      <c r="S401" s="4"/>
      <c r="T401" s="4"/>
      <c r="U401" s="4"/>
      <c r="V401" s="4"/>
      <c r="W401" s="4"/>
      <c r="X401" s="4"/>
      <c r="Y401" s="4"/>
      <c r="Z401" s="4"/>
      <c r="AA401" s="4"/>
      <c r="AB401" s="4"/>
    </row>
    <row r="402" spans="1:28" ht="13.5" customHeight="1">
      <c r="A402" s="4"/>
      <c r="B402" s="9"/>
      <c r="C402" s="9"/>
      <c r="D402" s="4"/>
      <c r="E402" s="4"/>
      <c r="F402" s="4"/>
      <c r="G402" s="4"/>
      <c r="H402" s="4"/>
      <c r="I402" s="4"/>
      <c r="J402" s="4"/>
      <c r="K402" s="4"/>
      <c r="L402" s="38"/>
      <c r="M402" s="4"/>
      <c r="N402" s="4"/>
      <c r="O402" s="4"/>
      <c r="P402" s="4"/>
      <c r="Q402" s="4"/>
      <c r="R402" s="4"/>
      <c r="S402" s="4"/>
      <c r="T402" s="4"/>
      <c r="U402" s="4"/>
      <c r="V402" s="4"/>
      <c r="W402" s="4"/>
      <c r="X402" s="4"/>
      <c r="Y402" s="4"/>
      <c r="Z402" s="4"/>
      <c r="AA402" s="4"/>
      <c r="AB402" s="4"/>
    </row>
    <row r="403" spans="1:28" ht="13.5" customHeight="1">
      <c r="A403" s="4"/>
      <c r="B403" s="9"/>
      <c r="C403" s="9"/>
      <c r="D403" s="4"/>
      <c r="E403" s="4"/>
      <c r="F403" s="4"/>
      <c r="G403" s="4"/>
      <c r="H403" s="4"/>
      <c r="I403" s="4"/>
      <c r="J403" s="4"/>
      <c r="K403" s="4"/>
      <c r="L403" s="38"/>
      <c r="M403" s="4"/>
      <c r="N403" s="4"/>
      <c r="O403" s="4"/>
      <c r="P403" s="4"/>
      <c r="Q403" s="4"/>
      <c r="R403" s="4"/>
      <c r="S403" s="4"/>
      <c r="T403" s="4"/>
      <c r="U403" s="4"/>
      <c r="V403" s="4"/>
      <c r="W403" s="4"/>
      <c r="X403" s="4"/>
      <c r="Y403" s="4"/>
      <c r="Z403" s="4"/>
      <c r="AA403" s="4"/>
      <c r="AB403" s="4"/>
    </row>
    <row r="404" spans="1:28" ht="13.5" customHeight="1">
      <c r="A404" s="4"/>
      <c r="B404" s="9"/>
      <c r="C404" s="9"/>
      <c r="D404" s="4"/>
      <c r="E404" s="4"/>
      <c r="F404" s="4"/>
      <c r="G404" s="4"/>
      <c r="H404" s="4"/>
      <c r="I404" s="4"/>
      <c r="J404" s="4"/>
      <c r="K404" s="4"/>
      <c r="L404" s="38"/>
      <c r="M404" s="4"/>
      <c r="N404" s="4"/>
      <c r="O404" s="4"/>
      <c r="P404" s="4"/>
      <c r="Q404" s="4"/>
      <c r="R404" s="4"/>
      <c r="S404" s="4"/>
      <c r="T404" s="4"/>
      <c r="U404" s="4"/>
      <c r="V404" s="4"/>
      <c r="W404" s="4"/>
      <c r="X404" s="4"/>
      <c r="Y404" s="4"/>
      <c r="Z404" s="4"/>
      <c r="AA404" s="4"/>
      <c r="AB404" s="4"/>
    </row>
    <row r="405" spans="1:28" ht="13.5" customHeight="1">
      <c r="A405" s="4"/>
      <c r="B405" s="9"/>
      <c r="C405" s="9"/>
      <c r="D405" s="4"/>
      <c r="E405" s="4"/>
      <c r="F405" s="4"/>
      <c r="G405" s="4"/>
      <c r="H405" s="4"/>
      <c r="I405" s="4"/>
      <c r="J405" s="4"/>
      <c r="K405" s="4"/>
      <c r="L405" s="38"/>
      <c r="M405" s="4"/>
      <c r="N405" s="4"/>
      <c r="O405" s="4"/>
      <c r="P405" s="4"/>
      <c r="Q405" s="4"/>
      <c r="R405" s="4"/>
      <c r="S405" s="4"/>
      <c r="T405" s="4"/>
      <c r="U405" s="4"/>
      <c r="V405" s="4"/>
      <c r="W405" s="4"/>
      <c r="X405" s="4"/>
      <c r="Y405" s="4"/>
      <c r="Z405" s="4"/>
      <c r="AA405" s="4"/>
      <c r="AB405" s="4"/>
    </row>
    <row r="406" spans="1:28" ht="13.5" customHeight="1">
      <c r="A406" s="4"/>
      <c r="B406" s="9"/>
      <c r="C406" s="9"/>
      <c r="D406" s="4"/>
      <c r="E406" s="4"/>
      <c r="F406" s="4"/>
      <c r="G406" s="4"/>
      <c r="H406" s="4"/>
      <c r="I406" s="4"/>
      <c r="J406" s="4"/>
      <c r="K406" s="4"/>
      <c r="L406" s="38"/>
      <c r="M406" s="4"/>
      <c r="N406" s="4"/>
      <c r="O406" s="4"/>
      <c r="P406" s="4"/>
      <c r="Q406" s="4"/>
      <c r="R406" s="4"/>
      <c r="S406" s="4"/>
      <c r="T406" s="4"/>
      <c r="U406" s="4"/>
      <c r="V406" s="4"/>
      <c r="W406" s="4"/>
      <c r="X406" s="4"/>
      <c r="Y406" s="4"/>
      <c r="Z406" s="4"/>
      <c r="AA406" s="4"/>
      <c r="AB406" s="4"/>
    </row>
    <row r="407" spans="1:28" ht="13.5" customHeight="1">
      <c r="A407" s="4"/>
      <c r="B407" s="9"/>
      <c r="C407" s="9"/>
      <c r="D407" s="4"/>
      <c r="E407" s="4"/>
      <c r="F407" s="4"/>
      <c r="G407" s="4"/>
      <c r="H407" s="4"/>
      <c r="I407" s="4"/>
      <c r="J407" s="4"/>
      <c r="K407" s="4"/>
      <c r="L407" s="38"/>
      <c r="M407" s="4"/>
      <c r="N407" s="4"/>
      <c r="O407" s="4"/>
      <c r="P407" s="4"/>
      <c r="Q407" s="4"/>
      <c r="R407" s="4"/>
      <c r="S407" s="4"/>
      <c r="T407" s="4"/>
      <c r="U407" s="4"/>
      <c r="V407" s="4"/>
      <c r="W407" s="4"/>
      <c r="X407" s="4"/>
      <c r="Y407" s="4"/>
      <c r="Z407" s="4"/>
      <c r="AA407" s="4"/>
      <c r="AB407" s="4"/>
    </row>
    <row r="408" spans="1:28" ht="13.5" customHeight="1">
      <c r="A408" s="4"/>
      <c r="B408" s="9"/>
      <c r="C408" s="9"/>
      <c r="D408" s="4"/>
      <c r="E408" s="4"/>
      <c r="F408" s="4"/>
      <c r="G408" s="4"/>
      <c r="H408" s="4"/>
      <c r="I408" s="4"/>
      <c r="J408" s="4"/>
      <c r="K408" s="4"/>
      <c r="L408" s="38"/>
      <c r="M408" s="4"/>
      <c r="N408" s="4"/>
      <c r="O408" s="4"/>
      <c r="P408" s="4"/>
      <c r="Q408" s="4"/>
      <c r="R408" s="4"/>
      <c r="S408" s="4"/>
      <c r="T408" s="4"/>
      <c r="U408" s="4"/>
      <c r="V408" s="4"/>
      <c r="W408" s="4"/>
      <c r="X408" s="4"/>
      <c r="Y408" s="4"/>
      <c r="Z408" s="4"/>
      <c r="AA408" s="4"/>
      <c r="AB408" s="4"/>
    </row>
    <row r="409" spans="1:28" ht="13.5" customHeight="1">
      <c r="A409" s="4"/>
      <c r="B409" s="9"/>
      <c r="C409" s="9"/>
      <c r="D409" s="4"/>
      <c r="E409" s="4"/>
      <c r="F409" s="4"/>
      <c r="G409" s="4"/>
      <c r="H409" s="4"/>
      <c r="I409" s="4"/>
      <c r="J409" s="4"/>
      <c r="K409" s="4"/>
      <c r="L409" s="38"/>
      <c r="M409" s="4"/>
      <c r="N409" s="4"/>
      <c r="O409" s="4"/>
      <c r="P409" s="4"/>
      <c r="Q409" s="4"/>
      <c r="R409" s="4"/>
      <c r="S409" s="4"/>
      <c r="T409" s="4"/>
      <c r="U409" s="4"/>
      <c r="V409" s="4"/>
      <c r="W409" s="4"/>
      <c r="X409" s="4"/>
      <c r="Y409" s="4"/>
      <c r="Z409" s="4"/>
      <c r="AA409" s="4"/>
      <c r="AB409" s="4"/>
    </row>
    <row r="410" spans="1:28" ht="13.5" customHeight="1">
      <c r="A410" s="4"/>
      <c r="B410" s="9"/>
      <c r="C410" s="9"/>
      <c r="D410" s="4"/>
      <c r="E410" s="4"/>
      <c r="F410" s="4"/>
      <c r="G410" s="4"/>
      <c r="H410" s="4"/>
      <c r="I410" s="4"/>
      <c r="J410" s="4"/>
      <c r="K410" s="4"/>
      <c r="L410" s="38"/>
      <c r="M410" s="4"/>
      <c r="N410" s="4"/>
      <c r="O410" s="4"/>
      <c r="P410" s="4"/>
      <c r="Q410" s="4"/>
      <c r="R410" s="4"/>
      <c r="S410" s="4"/>
      <c r="T410" s="4"/>
      <c r="U410" s="4"/>
      <c r="V410" s="4"/>
      <c r="W410" s="4"/>
      <c r="X410" s="4"/>
      <c r="Y410" s="4"/>
      <c r="Z410" s="4"/>
      <c r="AA410" s="4"/>
      <c r="AB410" s="4"/>
    </row>
    <row r="411" spans="1:28" ht="13.5" customHeight="1">
      <c r="A411" s="4"/>
      <c r="B411" s="9"/>
      <c r="C411" s="9"/>
      <c r="D411" s="4"/>
      <c r="E411" s="4"/>
      <c r="F411" s="4"/>
      <c r="G411" s="4"/>
      <c r="H411" s="4"/>
      <c r="I411" s="4"/>
      <c r="J411" s="4"/>
      <c r="K411" s="4"/>
      <c r="L411" s="38"/>
      <c r="M411" s="4"/>
      <c r="N411" s="4"/>
      <c r="O411" s="4"/>
      <c r="P411" s="4"/>
      <c r="Q411" s="4"/>
      <c r="R411" s="4"/>
      <c r="S411" s="4"/>
      <c r="T411" s="4"/>
      <c r="U411" s="4"/>
      <c r="V411" s="4"/>
      <c r="W411" s="4"/>
      <c r="X411" s="4"/>
      <c r="Y411" s="4"/>
      <c r="Z411" s="4"/>
      <c r="AA411" s="4"/>
      <c r="AB411" s="4"/>
    </row>
    <row r="412" spans="1:28" ht="13.5" customHeight="1">
      <c r="A412" s="4"/>
      <c r="B412" s="9"/>
      <c r="C412" s="9"/>
      <c r="D412" s="4"/>
      <c r="E412" s="4"/>
      <c r="F412" s="4"/>
      <c r="G412" s="4"/>
      <c r="H412" s="4"/>
      <c r="I412" s="4"/>
      <c r="J412" s="4"/>
      <c r="K412" s="4"/>
      <c r="L412" s="38"/>
      <c r="M412" s="4"/>
      <c r="N412" s="4"/>
      <c r="O412" s="4"/>
      <c r="P412" s="4"/>
      <c r="Q412" s="4"/>
      <c r="R412" s="4"/>
      <c r="S412" s="4"/>
      <c r="T412" s="4"/>
      <c r="U412" s="4"/>
      <c r="V412" s="4"/>
      <c r="W412" s="4"/>
      <c r="X412" s="4"/>
      <c r="Y412" s="4"/>
      <c r="Z412" s="4"/>
      <c r="AA412" s="4"/>
      <c r="AB412" s="4"/>
    </row>
    <row r="413" spans="1:28" ht="13.5" customHeight="1">
      <c r="A413" s="4"/>
      <c r="B413" s="9"/>
      <c r="C413" s="9"/>
      <c r="D413" s="4"/>
      <c r="E413" s="4"/>
      <c r="F413" s="4"/>
      <c r="G413" s="4"/>
      <c r="H413" s="4"/>
      <c r="I413" s="4"/>
      <c r="J413" s="4"/>
      <c r="K413" s="4"/>
      <c r="L413" s="38"/>
      <c r="M413" s="4"/>
      <c r="N413" s="4"/>
      <c r="O413" s="4"/>
      <c r="P413" s="4"/>
      <c r="Q413" s="4"/>
      <c r="R413" s="4"/>
      <c r="S413" s="4"/>
      <c r="T413" s="4"/>
      <c r="U413" s="4"/>
      <c r="V413" s="4"/>
      <c r="W413" s="4"/>
      <c r="X413" s="4"/>
      <c r="Y413" s="4"/>
      <c r="Z413" s="4"/>
      <c r="AA413" s="4"/>
      <c r="AB413" s="4"/>
    </row>
    <row r="414" spans="1:28" ht="13.5" customHeight="1">
      <c r="A414" s="4"/>
      <c r="B414" s="9"/>
      <c r="C414" s="9"/>
      <c r="D414" s="4"/>
      <c r="E414" s="4"/>
      <c r="F414" s="4"/>
      <c r="G414" s="4"/>
      <c r="H414" s="4"/>
      <c r="I414" s="4"/>
      <c r="J414" s="4"/>
      <c r="K414" s="4"/>
      <c r="L414" s="38"/>
      <c r="M414" s="4"/>
      <c r="N414" s="4"/>
      <c r="O414" s="4"/>
      <c r="P414" s="4"/>
      <c r="Q414" s="4"/>
      <c r="R414" s="4"/>
      <c r="S414" s="4"/>
      <c r="T414" s="4"/>
      <c r="U414" s="4"/>
      <c r="V414" s="4"/>
      <c r="W414" s="4"/>
      <c r="X414" s="4"/>
      <c r="Y414" s="4"/>
      <c r="Z414" s="4"/>
      <c r="AA414" s="4"/>
      <c r="AB414" s="4"/>
    </row>
    <row r="415" spans="1:28" ht="13.5" customHeight="1">
      <c r="A415" s="4"/>
      <c r="B415" s="9"/>
      <c r="C415" s="9"/>
      <c r="D415" s="4"/>
      <c r="E415" s="4"/>
      <c r="F415" s="4"/>
      <c r="G415" s="4"/>
      <c r="H415" s="4"/>
      <c r="I415" s="4"/>
      <c r="J415" s="4"/>
      <c r="K415" s="4"/>
      <c r="L415" s="38"/>
      <c r="M415" s="4"/>
      <c r="N415" s="4"/>
      <c r="O415" s="4"/>
      <c r="P415" s="4"/>
      <c r="Q415" s="4"/>
      <c r="R415" s="4"/>
      <c r="S415" s="4"/>
      <c r="T415" s="4"/>
      <c r="U415" s="4"/>
      <c r="V415" s="4"/>
      <c r="W415" s="4"/>
      <c r="X415" s="4"/>
      <c r="Y415" s="4"/>
      <c r="Z415" s="4"/>
      <c r="AA415" s="4"/>
      <c r="AB415" s="4"/>
    </row>
    <row r="416" spans="1:28" ht="13.5" customHeight="1">
      <c r="A416" s="4"/>
      <c r="B416" s="9"/>
      <c r="C416" s="9"/>
      <c r="D416" s="4"/>
      <c r="E416" s="4"/>
      <c r="F416" s="4"/>
      <c r="G416" s="4"/>
      <c r="H416" s="4"/>
      <c r="I416" s="4"/>
      <c r="J416" s="4"/>
      <c r="K416" s="4"/>
      <c r="L416" s="38"/>
      <c r="M416" s="4"/>
      <c r="N416" s="4"/>
      <c r="O416" s="4"/>
      <c r="P416" s="4"/>
      <c r="Q416" s="4"/>
      <c r="R416" s="4"/>
      <c r="S416" s="4"/>
      <c r="T416" s="4"/>
      <c r="U416" s="4"/>
      <c r="V416" s="4"/>
      <c r="W416" s="4"/>
      <c r="X416" s="4"/>
      <c r="Y416" s="4"/>
      <c r="Z416" s="4"/>
      <c r="AA416" s="4"/>
      <c r="AB416" s="4"/>
    </row>
    <row r="417" spans="1:28" ht="13.5" customHeight="1">
      <c r="A417" s="4"/>
      <c r="B417" s="9"/>
      <c r="C417" s="9"/>
      <c r="D417" s="4"/>
      <c r="E417" s="4"/>
      <c r="F417" s="4"/>
      <c r="G417" s="4"/>
      <c r="H417" s="4"/>
      <c r="I417" s="4"/>
      <c r="J417" s="4"/>
      <c r="K417" s="4"/>
      <c r="L417" s="38"/>
      <c r="M417" s="4"/>
      <c r="N417" s="4"/>
      <c r="O417" s="4"/>
      <c r="P417" s="4"/>
      <c r="Q417" s="4"/>
      <c r="R417" s="4"/>
      <c r="S417" s="4"/>
      <c r="T417" s="4"/>
      <c r="U417" s="4"/>
      <c r="V417" s="4"/>
      <c r="W417" s="4"/>
      <c r="X417" s="4"/>
      <c r="Y417" s="4"/>
      <c r="Z417" s="4"/>
      <c r="AA417" s="4"/>
      <c r="AB417" s="4"/>
    </row>
    <row r="418" spans="1:28" ht="13.5" customHeight="1">
      <c r="A418" s="4"/>
      <c r="B418" s="9"/>
      <c r="C418" s="9"/>
      <c r="D418" s="4"/>
      <c r="E418" s="4"/>
      <c r="F418" s="4"/>
      <c r="G418" s="4"/>
      <c r="H418" s="4"/>
      <c r="I418" s="4"/>
      <c r="J418" s="4"/>
      <c r="K418" s="4"/>
      <c r="L418" s="38"/>
      <c r="M418" s="4"/>
      <c r="N418" s="4"/>
      <c r="O418" s="4"/>
      <c r="P418" s="4"/>
      <c r="Q418" s="4"/>
      <c r="R418" s="4"/>
      <c r="S418" s="4"/>
      <c r="T418" s="4"/>
      <c r="U418" s="4"/>
      <c r="V418" s="4"/>
      <c r="W418" s="4"/>
      <c r="X418" s="4"/>
      <c r="Y418" s="4"/>
      <c r="Z418" s="4"/>
      <c r="AA418" s="4"/>
      <c r="AB418" s="4"/>
    </row>
    <row r="419" spans="1:28" ht="13.5" customHeight="1">
      <c r="A419" s="4"/>
      <c r="B419" s="9"/>
      <c r="C419" s="9"/>
      <c r="D419" s="4"/>
      <c r="E419" s="4"/>
      <c r="F419" s="4"/>
      <c r="G419" s="4"/>
      <c r="H419" s="4"/>
      <c r="I419" s="4"/>
      <c r="J419" s="4"/>
      <c r="K419" s="4"/>
      <c r="L419" s="38"/>
      <c r="M419" s="4"/>
      <c r="N419" s="4"/>
      <c r="O419" s="4"/>
      <c r="P419" s="4"/>
      <c r="Q419" s="4"/>
      <c r="R419" s="4"/>
      <c r="S419" s="4"/>
      <c r="T419" s="4"/>
      <c r="U419" s="4"/>
      <c r="V419" s="4"/>
      <c r="W419" s="4"/>
      <c r="X419" s="4"/>
      <c r="Y419" s="4"/>
      <c r="Z419" s="4"/>
      <c r="AA419" s="4"/>
      <c r="AB419" s="4"/>
    </row>
    <row r="420" spans="1:28" ht="13.5" customHeight="1">
      <c r="A420" s="4"/>
      <c r="B420" s="9"/>
      <c r="C420" s="9"/>
      <c r="D420" s="4"/>
      <c r="E420" s="4"/>
      <c r="F420" s="4"/>
      <c r="G420" s="4"/>
      <c r="H420" s="4"/>
      <c r="I420" s="4"/>
      <c r="J420" s="4"/>
      <c r="K420" s="4"/>
      <c r="L420" s="38"/>
      <c r="M420" s="4"/>
      <c r="N420" s="4"/>
      <c r="O420" s="4"/>
      <c r="P420" s="4"/>
      <c r="Q420" s="4"/>
      <c r="R420" s="4"/>
      <c r="S420" s="4"/>
      <c r="T420" s="4"/>
      <c r="U420" s="4"/>
      <c r="V420" s="4"/>
      <c r="W420" s="4"/>
      <c r="X420" s="4"/>
      <c r="Y420" s="4"/>
      <c r="Z420" s="4"/>
      <c r="AA420" s="4"/>
      <c r="AB420" s="4"/>
    </row>
    <row r="421" spans="1:28" ht="13.5" customHeight="1">
      <c r="A421" s="4"/>
      <c r="B421" s="9"/>
      <c r="C421" s="9"/>
      <c r="D421" s="4"/>
      <c r="E421" s="4"/>
      <c r="F421" s="4"/>
      <c r="G421" s="4"/>
      <c r="H421" s="4"/>
      <c r="I421" s="4"/>
      <c r="J421" s="4"/>
      <c r="K421" s="4"/>
      <c r="L421" s="38"/>
      <c r="M421" s="4"/>
      <c r="N421" s="4"/>
      <c r="O421" s="4"/>
      <c r="P421" s="4"/>
      <c r="Q421" s="4"/>
      <c r="R421" s="4"/>
      <c r="S421" s="4"/>
      <c r="T421" s="4"/>
      <c r="U421" s="4"/>
      <c r="V421" s="4"/>
      <c r="W421" s="4"/>
      <c r="X421" s="4"/>
      <c r="Y421" s="4"/>
      <c r="Z421" s="4"/>
      <c r="AA421" s="4"/>
      <c r="AB421" s="4"/>
    </row>
    <row r="422" spans="1:28" ht="13.5" customHeight="1">
      <c r="A422" s="4"/>
      <c r="B422" s="9"/>
      <c r="C422" s="9"/>
      <c r="D422" s="4"/>
      <c r="E422" s="4"/>
      <c r="F422" s="4"/>
      <c r="G422" s="4"/>
      <c r="H422" s="4"/>
      <c r="I422" s="4"/>
      <c r="J422" s="4"/>
      <c r="K422" s="4"/>
      <c r="L422" s="38"/>
      <c r="M422" s="4"/>
      <c r="N422" s="4"/>
      <c r="O422" s="4"/>
      <c r="P422" s="4"/>
      <c r="Q422" s="4"/>
      <c r="R422" s="4"/>
      <c r="S422" s="4"/>
      <c r="T422" s="4"/>
      <c r="U422" s="4"/>
      <c r="V422" s="4"/>
      <c r="W422" s="4"/>
      <c r="X422" s="4"/>
      <c r="Y422" s="4"/>
      <c r="Z422" s="4"/>
      <c r="AA422" s="4"/>
      <c r="AB422" s="4"/>
    </row>
    <row r="423" spans="1:28" ht="13.5" customHeight="1">
      <c r="A423" s="4"/>
      <c r="B423" s="9"/>
      <c r="C423" s="9"/>
      <c r="D423" s="4"/>
      <c r="E423" s="4"/>
      <c r="F423" s="4"/>
      <c r="G423" s="4"/>
      <c r="H423" s="4"/>
      <c r="I423" s="4"/>
      <c r="J423" s="4"/>
      <c r="K423" s="4"/>
      <c r="L423" s="38"/>
      <c r="M423" s="4"/>
      <c r="N423" s="4"/>
      <c r="O423" s="4"/>
      <c r="P423" s="4"/>
      <c r="Q423" s="4"/>
      <c r="R423" s="4"/>
      <c r="S423" s="4"/>
      <c r="T423" s="4"/>
      <c r="U423" s="4"/>
      <c r="V423" s="4"/>
      <c r="W423" s="4"/>
      <c r="X423" s="4"/>
      <c r="Y423" s="4"/>
      <c r="Z423" s="4"/>
      <c r="AA423" s="4"/>
      <c r="AB423" s="4"/>
    </row>
    <row r="424" spans="1:28" ht="13.5" customHeight="1">
      <c r="A424" s="4"/>
      <c r="B424" s="9"/>
      <c r="C424" s="9"/>
      <c r="D424" s="4"/>
      <c r="E424" s="4"/>
      <c r="F424" s="4"/>
      <c r="G424" s="4"/>
      <c r="H424" s="4"/>
      <c r="I424" s="4"/>
      <c r="J424" s="4"/>
      <c r="K424" s="4"/>
      <c r="L424" s="38"/>
      <c r="M424" s="4"/>
      <c r="N424" s="4"/>
      <c r="O424" s="4"/>
      <c r="P424" s="4"/>
      <c r="Q424" s="4"/>
      <c r="R424" s="4"/>
      <c r="S424" s="4"/>
      <c r="T424" s="4"/>
      <c r="U424" s="4"/>
      <c r="V424" s="4"/>
      <c r="W424" s="4"/>
      <c r="X424" s="4"/>
      <c r="Y424" s="4"/>
      <c r="Z424" s="4"/>
      <c r="AA424" s="4"/>
      <c r="AB424" s="4"/>
    </row>
    <row r="425" spans="1:28" ht="13.5" customHeight="1">
      <c r="A425" s="4"/>
      <c r="B425" s="9"/>
      <c r="C425" s="9"/>
      <c r="D425" s="4"/>
      <c r="E425" s="4"/>
      <c r="F425" s="4"/>
      <c r="G425" s="4"/>
      <c r="H425" s="4"/>
      <c r="I425" s="4"/>
      <c r="J425" s="4"/>
      <c r="K425" s="4"/>
      <c r="L425" s="38"/>
      <c r="M425" s="4"/>
      <c r="N425" s="4"/>
      <c r="O425" s="4"/>
      <c r="P425" s="4"/>
      <c r="Q425" s="4"/>
      <c r="R425" s="4"/>
      <c r="S425" s="4"/>
      <c r="T425" s="4"/>
      <c r="U425" s="4"/>
      <c r="V425" s="4"/>
      <c r="W425" s="4"/>
      <c r="X425" s="4"/>
      <c r="Y425" s="4"/>
      <c r="Z425" s="4"/>
      <c r="AA425" s="4"/>
      <c r="AB425" s="4"/>
    </row>
    <row r="426" spans="1:28" ht="13.5" customHeight="1">
      <c r="A426" s="4"/>
      <c r="B426" s="9"/>
      <c r="C426" s="9"/>
      <c r="D426" s="4"/>
      <c r="E426" s="4"/>
      <c r="F426" s="4"/>
      <c r="G426" s="4"/>
      <c r="H426" s="4"/>
      <c r="I426" s="4"/>
      <c r="J426" s="4"/>
      <c r="K426" s="4"/>
      <c r="L426" s="38"/>
      <c r="M426" s="4"/>
      <c r="N426" s="4"/>
      <c r="O426" s="4"/>
      <c r="P426" s="4"/>
      <c r="Q426" s="4"/>
      <c r="R426" s="4"/>
      <c r="S426" s="4"/>
      <c r="T426" s="4"/>
      <c r="U426" s="4"/>
      <c r="V426" s="4"/>
      <c r="W426" s="4"/>
      <c r="X426" s="4"/>
      <c r="Y426" s="4"/>
      <c r="Z426" s="4"/>
      <c r="AA426" s="4"/>
      <c r="AB426" s="4"/>
    </row>
    <row r="427" spans="1:28" ht="13.5" customHeight="1">
      <c r="A427" s="4"/>
      <c r="B427" s="9"/>
      <c r="C427" s="9"/>
      <c r="D427" s="4"/>
      <c r="E427" s="4"/>
      <c r="F427" s="4"/>
      <c r="G427" s="4"/>
      <c r="H427" s="4"/>
      <c r="I427" s="4"/>
      <c r="J427" s="4"/>
      <c r="K427" s="4"/>
      <c r="L427" s="38"/>
      <c r="M427" s="4"/>
      <c r="N427" s="4"/>
      <c r="O427" s="4"/>
      <c r="P427" s="4"/>
      <c r="Q427" s="4"/>
      <c r="R427" s="4"/>
      <c r="S427" s="4"/>
      <c r="T427" s="4"/>
      <c r="U427" s="4"/>
      <c r="V427" s="4"/>
      <c r="W427" s="4"/>
      <c r="X427" s="4"/>
      <c r="Y427" s="4"/>
      <c r="Z427" s="4"/>
      <c r="AA427" s="4"/>
      <c r="AB427" s="4"/>
    </row>
    <row r="428" spans="1:28" ht="13.5" customHeight="1">
      <c r="A428" s="4"/>
      <c r="B428" s="9"/>
      <c r="C428" s="9"/>
      <c r="D428" s="4"/>
      <c r="E428" s="4"/>
      <c r="F428" s="4"/>
      <c r="G428" s="4"/>
      <c r="H428" s="4"/>
      <c r="I428" s="4"/>
      <c r="J428" s="4"/>
      <c r="K428" s="4"/>
      <c r="L428" s="38"/>
      <c r="M428" s="4"/>
      <c r="N428" s="4"/>
      <c r="O428" s="4"/>
      <c r="P428" s="4"/>
      <c r="Q428" s="4"/>
      <c r="R428" s="4"/>
      <c r="S428" s="4"/>
      <c r="T428" s="4"/>
      <c r="U428" s="4"/>
      <c r="V428" s="4"/>
      <c r="W428" s="4"/>
      <c r="X428" s="4"/>
      <c r="Y428" s="4"/>
      <c r="Z428" s="4"/>
      <c r="AA428" s="4"/>
      <c r="AB428" s="4"/>
    </row>
    <row r="429" spans="1:28" ht="13.5" customHeight="1">
      <c r="A429" s="4"/>
      <c r="B429" s="9"/>
      <c r="C429" s="9"/>
      <c r="D429" s="4"/>
      <c r="E429" s="4"/>
      <c r="F429" s="4"/>
      <c r="G429" s="4"/>
      <c r="H429" s="4"/>
      <c r="I429" s="4"/>
      <c r="J429" s="4"/>
      <c r="K429" s="4"/>
      <c r="L429" s="38"/>
      <c r="M429" s="4"/>
      <c r="N429" s="4"/>
      <c r="O429" s="4"/>
      <c r="P429" s="4"/>
      <c r="Q429" s="4"/>
      <c r="R429" s="4"/>
      <c r="S429" s="4"/>
      <c r="T429" s="4"/>
      <c r="U429" s="4"/>
      <c r="V429" s="4"/>
      <c r="W429" s="4"/>
      <c r="X429" s="4"/>
      <c r="Y429" s="4"/>
      <c r="Z429" s="4"/>
      <c r="AA429" s="4"/>
      <c r="AB429" s="4"/>
    </row>
    <row r="430" spans="1:28" ht="13.5" customHeight="1">
      <c r="A430" s="4"/>
      <c r="B430" s="9"/>
      <c r="C430" s="9"/>
      <c r="D430" s="4"/>
      <c r="E430" s="4"/>
      <c r="F430" s="4"/>
      <c r="G430" s="4"/>
      <c r="H430" s="4"/>
      <c r="I430" s="4"/>
      <c r="J430" s="4"/>
      <c r="K430" s="4"/>
      <c r="L430" s="38"/>
      <c r="M430" s="4"/>
      <c r="N430" s="4"/>
      <c r="O430" s="4"/>
      <c r="P430" s="4"/>
      <c r="Q430" s="4"/>
      <c r="R430" s="4"/>
      <c r="S430" s="4"/>
      <c r="T430" s="4"/>
      <c r="U430" s="4"/>
      <c r="V430" s="4"/>
      <c r="W430" s="4"/>
      <c r="X430" s="4"/>
      <c r="Y430" s="4"/>
      <c r="Z430" s="4"/>
      <c r="AA430" s="4"/>
      <c r="AB430" s="4"/>
    </row>
    <row r="431" spans="1:28" ht="13.5" customHeight="1">
      <c r="A431" s="4"/>
      <c r="B431" s="9"/>
      <c r="C431" s="9"/>
      <c r="D431" s="4"/>
      <c r="E431" s="4"/>
      <c r="F431" s="4"/>
      <c r="G431" s="4"/>
      <c r="H431" s="4"/>
      <c r="I431" s="4"/>
      <c r="J431" s="4"/>
      <c r="K431" s="4"/>
      <c r="L431" s="38"/>
      <c r="M431" s="4"/>
      <c r="N431" s="4"/>
      <c r="O431" s="4"/>
      <c r="P431" s="4"/>
      <c r="Q431" s="4"/>
      <c r="R431" s="4"/>
      <c r="S431" s="4"/>
      <c r="T431" s="4"/>
      <c r="U431" s="4"/>
      <c r="V431" s="4"/>
      <c r="W431" s="4"/>
      <c r="X431" s="4"/>
      <c r="Y431" s="4"/>
      <c r="Z431" s="4"/>
      <c r="AA431" s="4"/>
      <c r="AB431" s="4"/>
    </row>
    <row r="432" spans="1:28" ht="13.5" customHeight="1">
      <c r="A432" s="4"/>
      <c r="B432" s="9"/>
      <c r="C432" s="9"/>
      <c r="D432" s="4"/>
      <c r="E432" s="4"/>
      <c r="F432" s="4"/>
      <c r="G432" s="4"/>
      <c r="H432" s="4"/>
      <c r="I432" s="4"/>
      <c r="J432" s="4"/>
      <c r="K432" s="4"/>
      <c r="L432" s="38"/>
      <c r="M432" s="4"/>
      <c r="N432" s="4"/>
      <c r="O432" s="4"/>
      <c r="P432" s="4"/>
      <c r="Q432" s="4"/>
      <c r="R432" s="4"/>
      <c r="S432" s="4"/>
      <c r="T432" s="4"/>
      <c r="U432" s="4"/>
      <c r="V432" s="4"/>
      <c r="W432" s="4"/>
      <c r="X432" s="4"/>
      <c r="Y432" s="4"/>
      <c r="Z432" s="4"/>
      <c r="AA432" s="4"/>
      <c r="AB432" s="4"/>
    </row>
    <row r="433" spans="1:28" ht="13.5" customHeight="1">
      <c r="A433" s="4"/>
      <c r="B433" s="9"/>
      <c r="C433" s="9"/>
      <c r="D433" s="4"/>
      <c r="E433" s="4"/>
      <c r="F433" s="4"/>
      <c r="G433" s="4"/>
      <c r="H433" s="4"/>
      <c r="I433" s="4"/>
      <c r="J433" s="4"/>
      <c r="K433" s="4"/>
      <c r="L433" s="38"/>
      <c r="M433" s="4"/>
      <c r="N433" s="4"/>
      <c r="O433" s="4"/>
      <c r="P433" s="4"/>
      <c r="Q433" s="4"/>
      <c r="R433" s="4"/>
      <c r="S433" s="4"/>
      <c r="T433" s="4"/>
      <c r="U433" s="4"/>
      <c r="V433" s="4"/>
      <c r="W433" s="4"/>
      <c r="X433" s="4"/>
      <c r="Y433" s="4"/>
      <c r="Z433" s="4"/>
      <c r="AA433" s="4"/>
      <c r="AB433" s="4"/>
    </row>
    <row r="434" spans="1:28" ht="13.5" customHeight="1">
      <c r="A434" s="4"/>
      <c r="B434" s="9"/>
      <c r="C434" s="9"/>
      <c r="D434" s="4"/>
      <c r="E434" s="4"/>
      <c r="F434" s="4"/>
      <c r="G434" s="4"/>
      <c r="H434" s="4"/>
      <c r="I434" s="4"/>
      <c r="J434" s="4"/>
      <c r="K434" s="4"/>
      <c r="L434" s="38"/>
      <c r="M434" s="4"/>
      <c r="N434" s="4"/>
      <c r="O434" s="4"/>
      <c r="P434" s="4"/>
      <c r="Q434" s="4"/>
      <c r="R434" s="4"/>
      <c r="S434" s="4"/>
      <c r="T434" s="4"/>
      <c r="U434" s="4"/>
      <c r="V434" s="4"/>
      <c r="W434" s="4"/>
      <c r="X434" s="4"/>
      <c r="Y434" s="4"/>
      <c r="Z434" s="4"/>
      <c r="AA434" s="4"/>
      <c r="AB434" s="4"/>
    </row>
    <row r="435" spans="1:28" ht="13.5" customHeight="1">
      <c r="A435" s="4"/>
      <c r="B435" s="9"/>
      <c r="C435" s="9"/>
      <c r="D435" s="4"/>
      <c r="E435" s="4"/>
      <c r="F435" s="4"/>
      <c r="G435" s="4"/>
      <c r="H435" s="4"/>
      <c r="I435" s="4"/>
      <c r="J435" s="4"/>
      <c r="K435" s="4"/>
      <c r="L435" s="38"/>
      <c r="M435" s="4"/>
      <c r="N435" s="4"/>
      <c r="O435" s="4"/>
      <c r="P435" s="4"/>
      <c r="Q435" s="4"/>
      <c r="R435" s="4"/>
      <c r="S435" s="4"/>
      <c r="T435" s="4"/>
      <c r="U435" s="4"/>
      <c r="V435" s="4"/>
      <c r="W435" s="4"/>
      <c r="X435" s="4"/>
      <c r="Y435" s="4"/>
      <c r="Z435" s="4"/>
      <c r="AA435" s="4"/>
      <c r="AB435" s="4"/>
    </row>
    <row r="436" spans="1:28" ht="13.5" customHeight="1">
      <c r="A436" s="4"/>
      <c r="B436" s="9"/>
      <c r="C436" s="9"/>
      <c r="D436" s="4"/>
      <c r="E436" s="4"/>
      <c r="F436" s="4"/>
      <c r="G436" s="4"/>
      <c r="H436" s="4"/>
      <c r="I436" s="4"/>
      <c r="J436" s="4"/>
      <c r="K436" s="4"/>
      <c r="L436" s="38"/>
      <c r="M436" s="4"/>
      <c r="N436" s="4"/>
      <c r="O436" s="4"/>
      <c r="P436" s="4"/>
      <c r="Q436" s="4"/>
      <c r="R436" s="4"/>
      <c r="S436" s="4"/>
      <c r="T436" s="4"/>
      <c r="U436" s="4"/>
      <c r="V436" s="4"/>
      <c r="W436" s="4"/>
      <c r="X436" s="4"/>
      <c r="Y436" s="4"/>
      <c r="Z436" s="4"/>
      <c r="AA436" s="4"/>
      <c r="AB436" s="4"/>
    </row>
    <row r="437" spans="1:28" ht="13.5" customHeight="1">
      <c r="A437" s="4"/>
      <c r="B437" s="9"/>
      <c r="C437" s="9"/>
      <c r="D437" s="4"/>
      <c r="E437" s="4"/>
      <c r="F437" s="4"/>
      <c r="G437" s="4"/>
      <c r="H437" s="4"/>
      <c r="I437" s="4"/>
      <c r="J437" s="4"/>
      <c r="K437" s="4"/>
      <c r="L437" s="38"/>
      <c r="M437" s="4"/>
      <c r="N437" s="4"/>
      <c r="O437" s="4"/>
      <c r="P437" s="4"/>
      <c r="Q437" s="4"/>
      <c r="R437" s="4"/>
      <c r="S437" s="4"/>
      <c r="T437" s="4"/>
      <c r="U437" s="4"/>
      <c r="V437" s="4"/>
      <c r="W437" s="4"/>
      <c r="X437" s="4"/>
      <c r="Y437" s="4"/>
      <c r="Z437" s="4"/>
      <c r="AA437" s="4"/>
      <c r="AB437" s="4"/>
    </row>
    <row r="438" spans="1:28" ht="13.5" customHeight="1">
      <c r="A438" s="4"/>
      <c r="B438" s="9"/>
      <c r="C438" s="9"/>
      <c r="D438" s="4"/>
      <c r="E438" s="4"/>
      <c r="F438" s="4"/>
      <c r="G438" s="4"/>
      <c r="H438" s="4"/>
      <c r="I438" s="4"/>
      <c r="J438" s="4"/>
      <c r="K438" s="4"/>
      <c r="L438" s="38"/>
      <c r="M438" s="4"/>
      <c r="N438" s="4"/>
      <c r="O438" s="4"/>
      <c r="P438" s="4"/>
      <c r="Q438" s="4"/>
      <c r="R438" s="4"/>
      <c r="S438" s="4"/>
      <c r="T438" s="4"/>
      <c r="U438" s="4"/>
      <c r="V438" s="4"/>
      <c r="W438" s="4"/>
      <c r="X438" s="4"/>
      <c r="Y438" s="4"/>
      <c r="Z438" s="4"/>
      <c r="AA438" s="4"/>
      <c r="AB438" s="4"/>
    </row>
    <row r="439" spans="1:28" ht="13.5" customHeight="1">
      <c r="A439" s="4"/>
      <c r="B439" s="9"/>
      <c r="C439" s="9"/>
      <c r="D439" s="4"/>
      <c r="E439" s="4"/>
      <c r="F439" s="4"/>
      <c r="G439" s="4"/>
      <c r="H439" s="4"/>
      <c r="I439" s="4"/>
      <c r="J439" s="4"/>
      <c r="K439" s="4"/>
      <c r="L439" s="38"/>
      <c r="M439" s="4"/>
      <c r="N439" s="4"/>
      <c r="O439" s="4"/>
      <c r="P439" s="4"/>
      <c r="Q439" s="4"/>
      <c r="R439" s="4"/>
      <c r="S439" s="4"/>
      <c r="T439" s="4"/>
      <c r="U439" s="4"/>
      <c r="V439" s="4"/>
      <c r="W439" s="4"/>
      <c r="X439" s="4"/>
      <c r="Y439" s="4"/>
      <c r="Z439" s="4"/>
      <c r="AA439" s="4"/>
      <c r="AB439" s="4"/>
    </row>
    <row r="440" spans="1:28" ht="13.5" customHeight="1">
      <c r="A440" s="4"/>
      <c r="B440" s="9"/>
      <c r="C440" s="9"/>
      <c r="D440" s="4"/>
      <c r="E440" s="4"/>
      <c r="F440" s="4"/>
      <c r="G440" s="4"/>
      <c r="H440" s="4"/>
      <c r="I440" s="4"/>
      <c r="J440" s="4"/>
      <c r="K440" s="4"/>
      <c r="L440" s="38"/>
      <c r="M440" s="4"/>
      <c r="N440" s="4"/>
      <c r="O440" s="4"/>
      <c r="P440" s="4"/>
      <c r="Q440" s="4"/>
      <c r="R440" s="4"/>
      <c r="S440" s="4"/>
      <c r="T440" s="4"/>
      <c r="U440" s="4"/>
      <c r="V440" s="4"/>
      <c r="W440" s="4"/>
      <c r="X440" s="4"/>
      <c r="Y440" s="4"/>
      <c r="Z440" s="4"/>
      <c r="AA440" s="4"/>
      <c r="AB440" s="4"/>
    </row>
    <row r="441" spans="1:28" ht="13.5" customHeight="1">
      <c r="A441" s="4"/>
      <c r="B441" s="9"/>
      <c r="C441" s="9"/>
      <c r="D441" s="4"/>
      <c r="E441" s="4"/>
      <c r="F441" s="4"/>
      <c r="G441" s="4"/>
      <c r="H441" s="4"/>
      <c r="I441" s="4"/>
      <c r="J441" s="4"/>
      <c r="K441" s="4"/>
      <c r="L441" s="38"/>
      <c r="M441" s="4"/>
      <c r="N441" s="4"/>
      <c r="O441" s="4"/>
      <c r="P441" s="4"/>
      <c r="Q441" s="4"/>
      <c r="R441" s="4"/>
      <c r="S441" s="4"/>
      <c r="T441" s="4"/>
      <c r="U441" s="4"/>
      <c r="V441" s="4"/>
      <c r="W441" s="4"/>
      <c r="X441" s="4"/>
      <c r="Y441" s="4"/>
      <c r="Z441" s="4"/>
      <c r="AA441" s="4"/>
      <c r="AB441" s="4"/>
    </row>
    <row r="442" spans="1:28" ht="13.5" customHeight="1">
      <c r="A442" s="4"/>
      <c r="B442" s="9"/>
      <c r="C442" s="9"/>
      <c r="D442" s="4"/>
      <c r="E442" s="4"/>
      <c r="F442" s="4"/>
      <c r="G442" s="4"/>
      <c r="H442" s="4"/>
      <c r="I442" s="4"/>
      <c r="J442" s="4"/>
      <c r="K442" s="4"/>
      <c r="L442" s="38"/>
      <c r="M442" s="4"/>
      <c r="N442" s="4"/>
      <c r="O442" s="4"/>
      <c r="P442" s="4"/>
      <c r="Q442" s="4"/>
      <c r="R442" s="4"/>
      <c r="S442" s="4"/>
      <c r="T442" s="4"/>
      <c r="U442" s="4"/>
      <c r="V442" s="4"/>
      <c r="W442" s="4"/>
      <c r="X442" s="4"/>
      <c r="Y442" s="4"/>
      <c r="Z442" s="4"/>
      <c r="AA442" s="4"/>
      <c r="AB442" s="4"/>
    </row>
    <row r="443" spans="1:28" ht="13.5" customHeight="1">
      <c r="A443" s="4"/>
      <c r="B443" s="9"/>
      <c r="C443" s="9"/>
      <c r="D443" s="4"/>
      <c r="E443" s="4"/>
      <c r="F443" s="4"/>
      <c r="G443" s="4"/>
      <c r="H443" s="4"/>
      <c r="I443" s="4"/>
      <c r="J443" s="4"/>
      <c r="K443" s="4"/>
      <c r="L443" s="38"/>
      <c r="M443" s="4"/>
      <c r="N443" s="4"/>
      <c r="O443" s="4"/>
      <c r="P443" s="4"/>
      <c r="Q443" s="4"/>
      <c r="R443" s="4"/>
      <c r="S443" s="4"/>
      <c r="T443" s="4"/>
      <c r="U443" s="4"/>
      <c r="V443" s="4"/>
      <c r="W443" s="4"/>
      <c r="X443" s="4"/>
      <c r="Y443" s="4"/>
      <c r="Z443" s="4"/>
      <c r="AA443" s="4"/>
      <c r="AB443" s="4"/>
    </row>
    <row r="444" spans="1:28" ht="13.5" customHeight="1">
      <c r="A444" s="4"/>
      <c r="B444" s="9"/>
      <c r="C444" s="9"/>
      <c r="D444" s="4"/>
      <c r="E444" s="4"/>
      <c r="F444" s="4"/>
      <c r="G444" s="4"/>
      <c r="H444" s="4"/>
      <c r="I444" s="4"/>
      <c r="J444" s="4"/>
      <c r="K444" s="4"/>
      <c r="L444" s="38"/>
      <c r="M444" s="4"/>
      <c r="N444" s="4"/>
      <c r="O444" s="4"/>
      <c r="P444" s="4"/>
      <c r="Q444" s="4"/>
      <c r="R444" s="4"/>
      <c r="S444" s="4"/>
      <c r="T444" s="4"/>
      <c r="U444" s="4"/>
      <c r="V444" s="4"/>
      <c r="W444" s="4"/>
      <c r="X444" s="4"/>
      <c r="Y444" s="4"/>
      <c r="Z444" s="4"/>
      <c r="AA444" s="4"/>
      <c r="AB444" s="4"/>
    </row>
    <row r="445" spans="1:28" ht="13.5" customHeight="1">
      <c r="A445" s="4"/>
      <c r="B445" s="9"/>
      <c r="C445" s="9"/>
      <c r="D445" s="4"/>
      <c r="E445" s="4"/>
      <c r="F445" s="4"/>
      <c r="G445" s="4"/>
      <c r="H445" s="4"/>
      <c r="I445" s="4"/>
      <c r="J445" s="4"/>
      <c r="K445" s="4"/>
      <c r="L445" s="38"/>
      <c r="M445" s="4"/>
      <c r="N445" s="4"/>
      <c r="O445" s="4"/>
      <c r="P445" s="4"/>
      <c r="Q445" s="4"/>
      <c r="R445" s="4"/>
      <c r="S445" s="4"/>
      <c r="T445" s="4"/>
      <c r="U445" s="4"/>
      <c r="V445" s="4"/>
      <c r="W445" s="4"/>
      <c r="X445" s="4"/>
      <c r="Y445" s="4"/>
      <c r="Z445" s="4"/>
      <c r="AA445" s="4"/>
      <c r="AB445" s="4"/>
    </row>
    <row r="446" spans="1:28" ht="13.5" customHeight="1">
      <c r="A446" s="4"/>
      <c r="B446" s="9"/>
      <c r="C446" s="9"/>
      <c r="D446" s="4"/>
      <c r="E446" s="4"/>
      <c r="F446" s="4"/>
      <c r="G446" s="4"/>
      <c r="H446" s="4"/>
      <c r="I446" s="4"/>
      <c r="J446" s="4"/>
      <c r="K446" s="4"/>
      <c r="L446" s="38"/>
      <c r="M446" s="4"/>
      <c r="N446" s="4"/>
      <c r="O446" s="4"/>
      <c r="P446" s="4"/>
      <c r="Q446" s="4"/>
      <c r="R446" s="4"/>
      <c r="S446" s="4"/>
      <c r="T446" s="4"/>
      <c r="U446" s="4"/>
      <c r="V446" s="4"/>
      <c r="W446" s="4"/>
      <c r="X446" s="4"/>
      <c r="Y446" s="4"/>
      <c r="Z446" s="4"/>
      <c r="AA446" s="4"/>
      <c r="AB446" s="4"/>
    </row>
    <row r="447" spans="1:28" ht="13.5" customHeight="1">
      <c r="A447" s="4"/>
      <c r="B447" s="9"/>
      <c r="C447" s="9"/>
      <c r="D447" s="4"/>
      <c r="E447" s="4"/>
      <c r="F447" s="4"/>
      <c r="G447" s="4"/>
      <c r="H447" s="4"/>
      <c r="I447" s="4"/>
      <c r="J447" s="4"/>
      <c r="K447" s="4"/>
      <c r="L447" s="38"/>
      <c r="M447" s="4"/>
      <c r="N447" s="4"/>
      <c r="O447" s="4"/>
      <c r="P447" s="4"/>
      <c r="Q447" s="4"/>
      <c r="R447" s="4"/>
      <c r="S447" s="4"/>
      <c r="T447" s="4"/>
      <c r="U447" s="4"/>
      <c r="V447" s="4"/>
      <c r="W447" s="4"/>
      <c r="X447" s="4"/>
      <c r="Y447" s="4"/>
      <c r="Z447" s="4"/>
      <c r="AA447" s="4"/>
      <c r="AB447" s="4"/>
    </row>
    <row r="448" spans="1:28" ht="13.5" customHeight="1">
      <c r="A448" s="4"/>
      <c r="B448" s="9"/>
      <c r="C448" s="9"/>
      <c r="D448" s="4"/>
      <c r="E448" s="4"/>
      <c r="F448" s="4"/>
      <c r="G448" s="4"/>
      <c r="H448" s="4"/>
      <c r="I448" s="4"/>
      <c r="J448" s="4"/>
      <c r="K448" s="4"/>
      <c r="L448" s="38"/>
      <c r="M448" s="4"/>
      <c r="N448" s="4"/>
      <c r="O448" s="4"/>
      <c r="P448" s="4"/>
      <c r="Q448" s="4"/>
      <c r="R448" s="4"/>
      <c r="S448" s="4"/>
      <c r="T448" s="4"/>
      <c r="U448" s="4"/>
      <c r="V448" s="4"/>
      <c r="W448" s="4"/>
      <c r="X448" s="4"/>
      <c r="Y448" s="4"/>
      <c r="Z448" s="4"/>
      <c r="AA448" s="4"/>
      <c r="AB448" s="4"/>
    </row>
    <row r="449" spans="1:28" ht="13.5" customHeight="1">
      <c r="A449" s="4"/>
      <c r="B449" s="9"/>
      <c r="C449" s="9"/>
      <c r="D449" s="4"/>
      <c r="E449" s="4"/>
      <c r="F449" s="4"/>
      <c r="G449" s="4"/>
      <c r="H449" s="4"/>
      <c r="I449" s="4"/>
      <c r="J449" s="4"/>
      <c r="K449" s="4"/>
      <c r="L449" s="38"/>
      <c r="M449" s="4"/>
      <c r="N449" s="4"/>
      <c r="O449" s="4"/>
      <c r="P449" s="4"/>
      <c r="Q449" s="4"/>
      <c r="R449" s="4"/>
      <c r="S449" s="4"/>
      <c r="T449" s="4"/>
      <c r="U449" s="4"/>
      <c r="V449" s="4"/>
      <c r="W449" s="4"/>
      <c r="X449" s="4"/>
      <c r="Y449" s="4"/>
      <c r="Z449" s="4"/>
      <c r="AA449" s="4"/>
      <c r="AB449" s="4"/>
    </row>
    <row r="450" spans="1:28" ht="13.5" customHeight="1">
      <c r="A450" s="4"/>
      <c r="B450" s="9"/>
      <c r="C450" s="9"/>
      <c r="D450" s="4"/>
      <c r="E450" s="4"/>
      <c r="F450" s="4"/>
      <c r="G450" s="4"/>
      <c r="H450" s="4"/>
      <c r="I450" s="4"/>
      <c r="J450" s="4"/>
      <c r="K450" s="4"/>
      <c r="L450" s="38"/>
      <c r="M450" s="4"/>
      <c r="N450" s="4"/>
      <c r="O450" s="4"/>
      <c r="P450" s="4"/>
      <c r="Q450" s="4"/>
      <c r="R450" s="4"/>
      <c r="S450" s="4"/>
      <c r="T450" s="4"/>
      <c r="U450" s="4"/>
      <c r="V450" s="4"/>
      <c r="W450" s="4"/>
      <c r="X450" s="4"/>
      <c r="Y450" s="4"/>
      <c r="Z450" s="4"/>
      <c r="AA450" s="4"/>
      <c r="AB450" s="4"/>
    </row>
    <row r="451" spans="1:28" ht="13.5" customHeight="1">
      <c r="A451" s="4"/>
      <c r="B451" s="9"/>
      <c r="C451" s="9"/>
      <c r="D451" s="4"/>
      <c r="E451" s="4"/>
      <c r="F451" s="4"/>
      <c r="G451" s="4"/>
      <c r="H451" s="4"/>
      <c r="I451" s="4"/>
      <c r="J451" s="4"/>
      <c r="K451" s="4"/>
      <c r="L451" s="38"/>
      <c r="M451" s="4"/>
      <c r="N451" s="4"/>
      <c r="O451" s="4"/>
      <c r="P451" s="4"/>
      <c r="Q451" s="4"/>
      <c r="R451" s="4"/>
      <c r="S451" s="4"/>
      <c r="T451" s="4"/>
      <c r="U451" s="4"/>
      <c r="V451" s="4"/>
      <c r="W451" s="4"/>
      <c r="X451" s="4"/>
      <c r="Y451" s="4"/>
      <c r="Z451" s="4"/>
      <c r="AA451" s="4"/>
      <c r="AB451" s="4"/>
    </row>
    <row r="452" spans="1:28" ht="13.5" customHeight="1">
      <c r="A452" s="4"/>
      <c r="B452" s="9"/>
      <c r="C452" s="9"/>
      <c r="D452" s="4"/>
      <c r="E452" s="4"/>
      <c r="F452" s="4"/>
      <c r="G452" s="4"/>
      <c r="H452" s="4"/>
      <c r="I452" s="4"/>
      <c r="J452" s="4"/>
      <c r="K452" s="4"/>
      <c r="L452" s="38"/>
      <c r="M452" s="4"/>
      <c r="N452" s="4"/>
      <c r="O452" s="4"/>
      <c r="P452" s="4"/>
      <c r="Q452" s="4"/>
      <c r="R452" s="4"/>
      <c r="S452" s="4"/>
      <c r="T452" s="4"/>
      <c r="U452" s="4"/>
      <c r="V452" s="4"/>
      <c r="W452" s="4"/>
      <c r="X452" s="4"/>
      <c r="Y452" s="4"/>
      <c r="Z452" s="4"/>
      <c r="AA452" s="4"/>
      <c r="AB452" s="4"/>
    </row>
    <row r="453" spans="1:28" ht="13.5" customHeight="1">
      <c r="A453" s="4"/>
      <c r="B453" s="9"/>
      <c r="C453" s="9"/>
      <c r="D453" s="4"/>
      <c r="E453" s="4"/>
      <c r="F453" s="4"/>
      <c r="G453" s="4"/>
      <c r="H453" s="4"/>
      <c r="I453" s="4"/>
      <c r="J453" s="4"/>
      <c r="K453" s="4"/>
      <c r="L453" s="38"/>
      <c r="M453" s="4"/>
      <c r="N453" s="4"/>
      <c r="O453" s="4"/>
      <c r="P453" s="4"/>
      <c r="Q453" s="4"/>
      <c r="R453" s="4"/>
      <c r="S453" s="4"/>
      <c r="T453" s="4"/>
      <c r="U453" s="4"/>
      <c r="V453" s="4"/>
      <c r="W453" s="4"/>
      <c r="X453" s="4"/>
      <c r="Y453" s="4"/>
      <c r="Z453" s="4"/>
      <c r="AA453" s="4"/>
      <c r="AB453" s="4"/>
    </row>
    <row r="454" spans="1:28" ht="13.5" customHeight="1">
      <c r="A454" s="4"/>
      <c r="B454" s="9"/>
      <c r="C454" s="9"/>
      <c r="D454" s="4"/>
      <c r="E454" s="4"/>
      <c r="F454" s="4"/>
      <c r="G454" s="4"/>
      <c r="H454" s="4"/>
      <c r="I454" s="4"/>
      <c r="J454" s="4"/>
      <c r="K454" s="4"/>
      <c r="L454" s="38"/>
      <c r="M454" s="4"/>
      <c r="N454" s="4"/>
      <c r="O454" s="4"/>
      <c r="P454" s="4"/>
      <c r="Q454" s="4"/>
      <c r="R454" s="4"/>
      <c r="S454" s="4"/>
      <c r="T454" s="4"/>
      <c r="U454" s="4"/>
      <c r="V454" s="4"/>
      <c r="W454" s="4"/>
      <c r="X454" s="4"/>
      <c r="Y454" s="4"/>
      <c r="Z454" s="4"/>
      <c r="AA454" s="4"/>
      <c r="AB454" s="4"/>
    </row>
    <row r="455" spans="1:28" ht="13.5" customHeight="1">
      <c r="A455" s="4"/>
      <c r="B455" s="9"/>
      <c r="C455" s="9"/>
      <c r="D455" s="4"/>
      <c r="E455" s="4"/>
      <c r="F455" s="4"/>
      <c r="G455" s="4"/>
      <c r="H455" s="4"/>
      <c r="I455" s="4"/>
      <c r="J455" s="4"/>
      <c r="K455" s="4"/>
      <c r="L455" s="38"/>
      <c r="M455" s="4"/>
      <c r="N455" s="4"/>
      <c r="O455" s="4"/>
      <c r="P455" s="4"/>
      <c r="Q455" s="4"/>
      <c r="R455" s="4"/>
      <c r="S455" s="4"/>
      <c r="T455" s="4"/>
      <c r="U455" s="4"/>
      <c r="V455" s="4"/>
      <c r="W455" s="4"/>
      <c r="X455" s="4"/>
      <c r="Y455" s="4"/>
      <c r="Z455" s="4"/>
      <c r="AA455" s="4"/>
      <c r="AB455" s="4"/>
    </row>
    <row r="456" spans="1:28" ht="13.5" customHeight="1">
      <c r="A456" s="4"/>
      <c r="B456" s="9"/>
      <c r="C456" s="9"/>
      <c r="D456" s="4"/>
      <c r="E456" s="4"/>
      <c r="F456" s="4"/>
      <c r="G456" s="4"/>
      <c r="H456" s="4"/>
      <c r="I456" s="4"/>
      <c r="J456" s="4"/>
      <c r="K456" s="4"/>
      <c r="L456" s="38"/>
      <c r="M456" s="4"/>
      <c r="N456" s="4"/>
      <c r="O456" s="4"/>
      <c r="P456" s="4"/>
      <c r="Q456" s="4"/>
      <c r="R456" s="4"/>
      <c r="S456" s="4"/>
      <c r="T456" s="4"/>
      <c r="U456" s="4"/>
      <c r="V456" s="4"/>
      <c r="W456" s="4"/>
      <c r="X456" s="4"/>
      <c r="Y456" s="4"/>
      <c r="Z456" s="4"/>
      <c r="AA456" s="4"/>
      <c r="AB456" s="4"/>
    </row>
    <row r="457" spans="1:28" ht="13.5" customHeight="1">
      <c r="A457" s="4"/>
      <c r="B457" s="9"/>
      <c r="C457" s="9"/>
      <c r="D457" s="4"/>
      <c r="E457" s="4"/>
      <c r="F457" s="4"/>
      <c r="G457" s="4"/>
      <c r="H457" s="4"/>
      <c r="I457" s="4"/>
      <c r="J457" s="4"/>
      <c r="K457" s="4"/>
      <c r="L457" s="38"/>
      <c r="M457" s="4"/>
      <c r="N457" s="4"/>
      <c r="O457" s="4"/>
      <c r="P457" s="4"/>
      <c r="Q457" s="4"/>
      <c r="R457" s="4"/>
      <c r="S457" s="4"/>
      <c r="T457" s="4"/>
      <c r="U457" s="4"/>
      <c r="V457" s="4"/>
      <c r="W457" s="4"/>
      <c r="X457" s="4"/>
      <c r="Y457" s="4"/>
      <c r="Z457" s="4"/>
      <c r="AA457" s="4"/>
      <c r="AB457" s="4"/>
    </row>
    <row r="458" spans="1:28" ht="13.5" customHeight="1">
      <c r="A458" s="4"/>
      <c r="B458" s="9"/>
      <c r="C458" s="9"/>
      <c r="D458" s="4"/>
      <c r="E458" s="4"/>
      <c r="F458" s="4"/>
      <c r="G458" s="4"/>
      <c r="H458" s="4"/>
      <c r="I458" s="4"/>
      <c r="J458" s="4"/>
      <c r="K458" s="4"/>
      <c r="L458" s="38"/>
      <c r="M458" s="4"/>
      <c r="N458" s="4"/>
      <c r="O458" s="4"/>
      <c r="P458" s="4"/>
      <c r="Q458" s="4"/>
      <c r="R458" s="4"/>
      <c r="S458" s="4"/>
      <c r="T458" s="4"/>
      <c r="U458" s="4"/>
      <c r="V458" s="4"/>
      <c r="W458" s="4"/>
      <c r="X458" s="4"/>
      <c r="Y458" s="4"/>
      <c r="Z458" s="4"/>
      <c r="AA458" s="4"/>
      <c r="AB458" s="4"/>
    </row>
    <row r="459" spans="1:28" ht="13.5" customHeight="1">
      <c r="A459" s="4"/>
      <c r="B459" s="9"/>
      <c r="C459" s="9"/>
      <c r="D459" s="4"/>
      <c r="E459" s="4"/>
      <c r="F459" s="4"/>
      <c r="G459" s="4"/>
      <c r="H459" s="4"/>
      <c r="I459" s="4"/>
      <c r="J459" s="4"/>
      <c r="K459" s="4"/>
      <c r="L459" s="38"/>
      <c r="M459" s="4"/>
      <c r="N459" s="4"/>
      <c r="O459" s="4"/>
      <c r="P459" s="4"/>
      <c r="Q459" s="4"/>
      <c r="R459" s="4"/>
      <c r="S459" s="4"/>
      <c r="T459" s="4"/>
      <c r="U459" s="4"/>
      <c r="V459" s="4"/>
      <c r="W459" s="4"/>
      <c r="X459" s="4"/>
      <c r="Y459" s="4"/>
      <c r="Z459" s="4"/>
      <c r="AA459" s="4"/>
      <c r="AB459" s="4"/>
    </row>
    <row r="460" spans="1:28" ht="13.5" customHeight="1">
      <c r="A460" s="4"/>
      <c r="B460" s="9"/>
      <c r="C460" s="9"/>
      <c r="D460" s="4"/>
      <c r="E460" s="4"/>
      <c r="F460" s="4"/>
      <c r="G460" s="4"/>
      <c r="H460" s="4"/>
      <c r="I460" s="4"/>
      <c r="J460" s="4"/>
      <c r="K460" s="4"/>
      <c r="L460" s="38"/>
      <c r="M460" s="4"/>
      <c r="N460" s="4"/>
      <c r="O460" s="4"/>
      <c r="P460" s="4"/>
      <c r="Q460" s="4"/>
      <c r="R460" s="4"/>
      <c r="S460" s="4"/>
      <c r="T460" s="4"/>
      <c r="U460" s="4"/>
      <c r="V460" s="4"/>
      <c r="W460" s="4"/>
      <c r="X460" s="4"/>
      <c r="Y460" s="4"/>
      <c r="Z460" s="4"/>
      <c r="AA460" s="4"/>
      <c r="AB460" s="4"/>
    </row>
    <row r="461" spans="1:28" ht="13.5" customHeight="1">
      <c r="A461" s="4"/>
      <c r="B461" s="9"/>
      <c r="C461" s="9"/>
      <c r="D461" s="4"/>
      <c r="E461" s="4"/>
      <c r="F461" s="4"/>
      <c r="G461" s="4"/>
      <c r="H461" s="4"/>
      <c r="I461" s="4"/>
      <c r="J461" s="4"/>
      <c r="K461" s="4"/>
      <c r="L461" s="38"/>
      <c r="M461" s="4"/>
      <c r="N461" s="4"/>
      <c r="O461" s="4"/>
      <c r="P461" s="4"/>
      <c r="Q461" s="4"/>
      <c r="R461" s="4"/>
      <c r="S461" s="4"/>
      <c r="T461" s="4"/>
      <c r="U461" s="4"/>
      <c r="V461" s="4"/>
      <c r="W461" s="4"/>
      <c r="X461" s="4"/>
      <c r="Y461" s="4"/>
      <c r="Z461" s="4"/>
      <c r="AA461" s="4"/>
      <c r="AB461" s="4"/>
    </row>
    <row r="462" spans="1:28" ht="13.5" customHeight="1">
      <c r="A462" s="4"/>
      <c r="B462" s="9"/>
      <c r="C462" s="9"/>
      <c r="D462" s="4"/>
      <c r="E462" s="4"/>
      <c r="F462" s="4"/>
      <c r="G462" s="4"/>
      <c r="H462" s="4"/>
      <c r="I462" s="4"/>
      <c r="J462" s="4"/>
      <c r="K462" s="4"/>
      <c r="L462" s="38"/>
      <c r="M462" s="4"/>
      <c r="N462" s="4"/>
      <c r="O462" s="4"/>
      <c r="P462" s="4"/>
      <c r="Q462" s="4"/>
      <c r="R462" s="4"/>
      <c r="S462" s="4"/>
      <c r="T462" s="4"/>
      <c r="U462" s="4"/>
      <c r="V462" s="4"/>
      <c r="W462" s="4"/>
      <c r="X462" s="4"/>
      <c r="Y462" s="4"/>
      <c r="Z462" s="4"/>
      <c r="AA462" s="4"/>
      <c r="AB462" s="4"/>
    </row>
    <row r="463" spans="1:28" ht="13.5" customHeight="1">
      <c r="A463" s="4"/>
      <c r="B463" s="9"/>
      <c r="C463" s="9"/>
      <c r="D463" s="4"/>
      <c r="E463" s="4"/>
      <c r="F463" s="4"/>
      <c r="G463" s="4"/>
      <c r="H463" s="4"/>
      <c r="I463" s="4"/>
      <c r="J463" s="4"/>
      <c r="K463" s="4"/>
      <c r="L463" s="38"/>
      <c r="M463" s="4"/>
      <c r="N463" s="4"/>
      <c r="O463" s="4"/>
      <c r="P463" s="4"/>
      <c r="Q463" s="4"/>
      <c r="R463" s="4"/>
      <c r="S463" s="4"/>
      <c r="T463" s="4"/>
      <c r="U463" s="4"/>
      <c r="V463" s="4"/>
      <c r="W463" s="4"/>
      <c r="X463" s="4"/>
      <c r="Y463" s="4"/>
      <c r="Z463" s="4"/>
      <c r="AA463" s="4"/>
      <c r="AB463" s="4"/>
    </row>
    <row r="464" spans="1:28" ht="13.5" customHeight="1">
      <c r="A464" s="4"/>
      <c r="B464" s="9"/>
      <c r="C464" s="9"/>
      <c r="D464" s="4"/>
      <c r="E464" s="4"/>
      <c r="F464" s="4"/>
      <c r="G464" s="4"/>
      <c r="H464" s="4"/>
      <c r="I464" s="4"/>
      <c r="J464" s="4"/>
      <c r="K464" s="4"/>
      <c r="L464" s="38"/>
      <c r="M464" s="4"/>
      <c r="N464" s="4"/>
      <c r="O464" s="4"/>
      <c r="P464" s="4"/>
      <c r="Q464" s="4"/>
      <c r="R464" s="4"/>
      <c r="S464" s="4"/>
      <c r="T464" s="4"/>
      <c r="U464" s="4"/>
      <c r="V464" s="4"/>
      <c r="W464" s="4"/>
      <c r="X464" s="4"/>
      <c r="Y464" s="4"/>
      <c r="Z464" s="4"/>
      <c r="AA464" s="4"/>
      <c r="AB464" s="4"/>
    </row>
    <row r="465" spans="1:28" ht="13.5" customHeight="1">
      <c r="A465" s="4"/>
      <c r="B465" s="9"/>
      <c r="C465" s="9"/>
      <c r="D465" s="4"/>
      <c r="E465" s="4"/>
      <c r="F465" s="4"/>
      <c r="G465" s="4"/>
      <c r="H465" s="4"/>
      <c r="I465" s="4"/>
      <c r="J465" s="4"/>
      <c r="K465" s="4"/>
      <c r="L465" s="38"/>
      <c r="M465" s="4"/>
      <c r="N465" s="4"/>
      <c r="O465" s="4"/>
      <c r="P465" s="4"/>
      <c r="Q465" s="4"/>
      <c r="R465" s="4"/>
      <c r="S465" s="4"/>
      <c r="T465" s="4"/>
      <c r="U465" s="4"/>
      <c r="V465" s="4"/>
      <c r="W465" s="4"/>
      <c r="X465" s="4"/>
      <c r="Y465" s="4"/>
      <c r="Z465" s="4"/>
      <c r="AA465" s="4"/>
      <c r="AB465" s="4"/>
    </row>
    <row r="466" spans="1:28" ht="13.5" customHeight="1">
      <c r="A466" s="4"/>
      <c r="B466" s="9"/>
      <c r="C466" s="9"/>
      <c r="D466" s="4"/>
      <c r="E466" s="4"/>
      <c r="F466" s="4"/>
      <c r="G466" s="4"/>
      <c r="H466" s="4"/>
      <c r="I466" s="4"/>
      <c r="J466" s="4"/>
      <c r="K466" s="4"/>
      <c r="L466" s="38"/>
      <c r="M466" s="4"/>
      <c r="N466" s="4"/>
      <c r="O466" s="4"/>
      <c r="P466" s="4"/>
      <c r="Q466" s="4"/>
      <c r="R466" s="4"/>
      <c r="S466" s="4"/>
      <c r="T466" s="4"/>
      <c r="U466" s="4"/>
      <c r="V466" s="4"/>
      <c r="W466" s="4"/>
      <c r="X466" s="4"/>
      <c r="Y466" s="4"/>
      <c r="Z466" s="4"/>
      <c r="AA466" s="4"/>
      <c r="AB466" s="4"/>
    </row>
    <row r="467" spans="1:28" ht="13.5" customHeight="1">
      <c r="A467" s="4"/>
      <c r="B467" s="9"/>
      <c r="C467" s="9"/>
      <c r="D467" s="4"/>
      <c r="E467" s="4"/>
      <c r="F467" s="4"/>
      <c r="G467" s="4"/>
      <c r="H467" s="4"/>
      <c r="I467" s="4"/>
      <c r="J467" s="4"/>
      <c r="K467" s="4"/>
      <c r="L467" s="38"/>
      <c r="M467" s="4"/>
      <c r="N467" s="4"/>
      <c r="O467" s="4"/>
      <c r="P467" s="4"/>
      <c r="Q467" s="4"/>
      <c r="R467" s="4"/>
      <c r="S467" s="4"/>
      <c r="T467" s="4"/>
      <c r="U467" s="4"/>
      <c r="V467" s="4"/>
      <c r="W467" s="4"/>
      <c r="X467" s="4"/>
      <c r="Y467" s="4"/>
      <c r="Z467" s="4"/>
      <c r="AA467" s="4"/>
      <c r="AB467" s="4"/>
    </row>
    <row r="468" spans="1:28" ht="13.5" customHeight="1">
      <c r="A468" s="4"/>
      <c r="B468" s="9"/>
      <c r="C468" s="9"/>
      <c r="D468" s="4"/>
      <c r="E468" s="4"/>
      <c r="F468" s="4"/>
      <c r="G468" s="4"/>
      <c r="H468" s="4"/>
      <c r="I468" s="4"/>
      <c r="J468" s="4"/>
      <c r="K468" s="4"/>
      <c r="L468" s="38"/>
      <c r="M468" s="4"/>
      <c r="N468" s="4"/>
      <c r="O468" s="4"/>
      <c r="P468" s="4"/>
      <c r="Q468" s="4"/>
      <c r="R468" s="4"/>
      <c r="S468" s="4"/>
      <c r="T468" s="4"/>
      <c r="U468" s="4"/>
      <c r="V468" s="4"/>
      <c r="W468" s="4"/>
      <c r="X468" s="4"/>
      <c r="Y468" s="4"/>
      <c r="Z468" s="4"/>
      <c r="AA468" s="4"/>
      <c r="AB468" s="4"/>
    </row>
    <row r="469" spans="1:28" ht="13.5" customHeight="1">
      <c r="A469" s="4"/>
      <c r="B469" s="9"/>
      <c r="C469" s="9"/>
      <c r="D469" s="4"/>
      <c r="E469" s="4"/>
      <c r="F469" s="4"/>
      <c r="G469" s="4"/>
      <c r="H469" s="4"/>
      <c r="I469" s="4"/>
      <c r="J469" s="4"/>
      <c r="K469" s="4"/>
      <c r="L469" s="38"/>
      <c r="M469" s="4"/>
      <c r="N469" s="4"/>
      <c r="O469" s="4"/>
      <c r="P469" s="4"/>
      <c r="Q469" s="4"/>
      <c r="R469" s="4"/>
      <c r="S469" s="4"/>
      <c r="T469" s="4"/>
      <c r="U469" s="4"/>
      <c r="V469" s="4"/>
      <c r="W469" s="4"/>
      <c r="X469" s="4"/>
      <c r="Y469" s="4"/>
      <c r="Z469" s="4"/>
      <c r="AA469" s="4"/>
      <c r="AB469" s="4"/>
    </row>
    <row r="470" spans="1:28" ht="13.5" customHeight="1">
      <c r="A470" s="4"/>
      <c r="B470" s="9"/>
      <c r="C470" s="9"/>
      <c r="D470" s="4"/>
      <c r="E470" s="4"/>
      <c r="F470" s="4"/>
      <c r="G470" s="4"/>
      <c r="H470" s="4"/>
      <c r="I470" s="4"/>
      <c r="J470" s="4"/>
      <c r="K470" s="4"/>
      <c r="L470" s="38"/>
      <c r="M470" s="4"/>
      <c r="N470" s="4"/>
      <c r="O470" s="4"/>
      <c r="P470" s="4"/>
      <c r="Q470" s="4"/>
      <c r="R470" s="4"/>
      <c r="S470" s="4"/>
      <c r="T470" s="4"/>
      <c r="U470" s="4"/>
      <c r="V470" s="4"/>
      <c r="W470" s="4"/>
      <c r="X470" s="4"/>
      <c r="Y470" s="4"/>
      <c r="Z470" s="4"/>
      <c r="AA470" s="4"/>
      <c r="AB470" s="4"/>
    </row>
    <row r="471" spans="1:28" ht="13.5" customHeight="1">
      <c r="A471" s="4"/>
      <c r="B471" s="9"/>
      <c r="C471" s="9"/>
      <c r="D471" s="4"/>
      <c r="E471" s="4"/>
      <c r="F471" s="4"/>
      <c r="G471" s="4"/>
      <c r="H471" s="4"/>
      <c r="I471" s="4"/>
      <c r="J471" s="4"/>
      <c r="K471" s="4"/>
      <c r="L471" s="38"/>
      <c r="M471" s="4"/>
      <c r="N471" s="4"/>
      <c r="O471" s="4"/>
      <c r="P471" s="4"/>
      <c r="Q471" s="4"/>
      <c r="R471" s="4"/>
      <c r="S471" s="4"/>
      <c r="T471" s="4"/>
      <c r="U471" s="4"/>
      <c r="V471" s="4"/>
      <c r="W471" s="4"/>
      <c r="X471" s="4"/>
      <c r="Y471" s="4"/>
      <c r="Z471" s="4"/>
      <c r="AA471" s="4"/>
      <c r="AB471" s="4"/>
    </row>
    <row r="472" spans="1:28" ht="13.5" customHeight="1">
      <c r="A472" s="4"/>
      <c r="B472" s="9"/>
      <c r="C472" s="9"/>
      <c r="D472" s="4"/>
      <c r="E472" s="4"/>
      <c r="F472" s="4"/>
      <c r="G472" s="4"/>
      <c r="H472" s="4"/>
      <c r="I472" s="4"/>
      <c r="J472" s="4"/>
      <c r="K472" s="4"/>
      <c r="L472" s="38"/>
      <c r="M472" s="4"/>
      <c r="N472" s="4"/>
      <c r="O472" s="4"/>
      <c r="P472" s="4"/>
      <c r="Q472" s="4"/>
      <c r="R472" s="4"/>
      <c r="S472" s="4"/>
      <c r="T472" s="4"/>
      <c r="U472" s="4"/>
      <c r="V472" s="4"/>
      <c r="W472" s="4"/>
      <c r="X472" s="4"/>
      <c r="Y472" s="4"/>
      <c r="Z472" s="4"/>
      <c r="AA472" s="4"/>
      <c r="AB472" s="4"/>
    </row>
    <row r="473" spans="1:28" ht="13.5" customHeight="1">
      <c r="A473" s="4"/>
      <c r="B473" s="9"/>
      <c r="C473" s="9"/>
      <c r="D473" s="4"/>
      <c r="E473" s="4"/>
      <c r="F473" s="4"/>
      <c r="G473" s="4"/>
      <c r="H473" s="4"/>
      <c r="I473" s="4"/>
      <c r="J473" s="4"/>
      <c r="K473" s="4"/>
      <c r="L473" s="38"/>
      <c r="M473" s="4"/>
      <c r="N473" s="4"/>
      <c r="O473" s="4"/>
      <c r="P473" s="4"/>
      <c r="Q473" s="4"/>
      <c r="R473" s="4"/>
      <c r="S473" s="4"/>
      <c r="T473" s="4"/>
      <c r="U473" s="4"/>
      <c r="V473" s="4"/>
      <c r="W473" s="4"/>
      <c r="X473" s="4"/>
      <c r="Y473" s="4"/>
      <c r="Z473" s="4"/>
      <c r="AA473" s="4"/>
      <c r="AB473" s="4"/>
    </row>
    <row r="474" spans="1:28" ht="13.5" customHeight="1">
      <c r="A474" s="4"/>
      <c r="B474" s="9"/>
      <c r="C474" s="9"/>
      <c r="D474" s="4"/>
      <c r="E474" s="4"/>
      <c r="F474" s="4"/>
      <c r="G474" s="4"/>
      <c r="H474" s="4"/>
      <c r="I474" s="4"/>
      <c r="J474" s="4"/>
      <c r="K474" s="4"/>
      <c r="L474" s="38"/>
      <c r="M474" s="4"/>
      <c r="N474" s="4"/>
      <c r="O474" s="4"/>
      <c r="P474" s="4"/>
      <c r="Q474" s="4"/>
      <c r="R474" s="4"/>
      <c r="S474" s="4"/>
      <c r="T474" s="4"/>
      <c r="U474" s="4"/>
      <c r="V474" s="4"/>
      <c r="W474" s="4"/>
      <c r="X474" s="4"/>
      <c r="Y474" s="4"/>
      <c r="Z474" s="4"/>
      <c r="AA474" s="4"/>
      <c r="AB474" s="4"/>
    </row>
    <row r="475" spans="1:28" ht="13.5" customHeight="1">
      <c r="A475" s="4"/>
      <c r="B475" s="9"/>
      <c r="C475" s="9"/>
      <c r="D475" s="4"/>
      <c r="E475" s="4"/>
      <c r="F475" s="4"/>
      <c r="G475" s="4"/>
      <c r="H475" s="4"/>
      <c r="I475" s="4"/>
      <c r="J475" s="4"/>
      <c r="K475" s="4"/>
      <c r="L475" s="38"/>
      <c r="M475" s="4"/>
      <c r="N475" s="4"/>
      <c r="O475" s="4"/>
      <c r="P475" s="4"/>
      <c r="Q475" s="4"/>
      <c r="R475" s="4"/>
      <c r="S475" s="4"/>
      <c r="T475" s="4"/>
      <c r="U475" s="4"/>
      <c r="V475" s="4"/>
      <c r="W475" s="4"/>
      <c r="X475" s="4"/>
      <c r="Y475" s="4"/>
      <c r="Z475" s="4"/>
      <c r="AA475" s="4"/>
      <c r="AB475" s="4"/>
    </row>
    <row r="476" spans="1:28" ht="13.5" customHeight="1">
      <c r="A476" s="4"/>
      <c r="B476" s="9"/>
      <c r="C476" s="9"/>
      <c r="D476" s="4"/>
      <c r="E476" s="4"/>
      <c r="F476" s="4"/>
      <c r="G476" s="4"/>
      <c r="H476" s="4"/>
      <c r="I476" s="4"/>
      <c r="J476" s="4"/>
      <c r="K476" s="4"/>
      <c r="L476" s="38"/>
      <c r="M476" s="4"/>
      <c r="N476" s="4"/>
      <c r="O476" s="4"/>
      <c r="P476" s="4"/>
      <c r="Q476" s="4"/>
      <c r="R476" s="4"/>
      <c r="S476" s="4"/>
      <c r="T476" s="4"/>
      <c r="U476" s="4"/>
      <c r="V476" s="4"/>
      <c r="W476" s="4"/>
      <c r="X476" s="4"/>
      <c r="Y476" s="4"/>
      <c r="Z476" s="4"/>
      <c r="AA476" s="4"/>
      <c r="AB476" s="4"/>
    </row>
    <row r="477" spans="1:28" ht="13.5" customHeight="1">
      <c r="A477" s="4"/>
      <c r="B477" s="9"/>
      <c r="C477" s="9"/>
      <c r="D477" s="4"/>
      <c r="E477" s="4"/>
      <c r="F477" s="4"/>
      <c r="G477" s="4"/>
      <c r="H477" s="4"/>
      <c r="I477" s="4"/>
      <c r="J477" s="4"/>
      <c r="K477" s="4"/>
      <c r="L477" s="38"/>
      <c r="M477" s="4"/>
      <c r="N477" s="4"/>
      <c r="O477" s="4"/>
      <c r="P477" s="4"/>
      <c r="Q477" s="4"/>
      <c r="R477" s="4"/>
      <c r="S477" s="4"/>
      <c r="T477" s="4"/>
      <c r="U477" s="4"/>
      <c r="V477" s="4"/>
      <c r="W477" s="4"/>
      <c r="X477" s="4"/>
      <c r="Y477" s="4"/>
      <c r="Z477" s="4"/>
      <c r="AA477" s="4"/>
      <c r="AB477" s="4"/>
    </row>
    <row r="478" spans="1:28" ht="13.5" customHeight="1">
      <c r="A478" s="4"/>
      <c r="B478" s="9"/>
      <c r="C478" s="9"/>
      <c r="D478" s="4"/>
      <c r="E478" s="4"/>
      <c r="F478" s="4"/>
      <c r="G478" s="4"/>
      <c r="H478" s="4"/>
      <c r="I478" s="4"/>
      <c r="J478" s="4"/>
      <c r="K478" s="4"/>
      <c r="L478" s="38"/>
      <c r="M478" s="4"/>
      <c r="N478" s="4"/>
      <c r="O478" s="4"/>
      <c r="P478" s="4"/>
      <c r="Q478" s="4"/>
      <c r="R478" s="4"/>
      <c r="S478" s="4"/>
      <c r="T478" s="4"/>
      <c r="U478" s="4"/>
      <c r="V478" s="4"/>
      <c r="W478" s="4"/>
      <c r="X478" s="4"/>
      <c r="Y478" s="4"/>
      <c r="Z478" s="4"/>
      <c r="AA478" s="4"/>
      <c r="AB478" s="4"/>
    </row>
    <row r="479" spans="1:28" ht="13.5" customHeight="1">
      <c r="A479" s="4"/>
      <c r="B479" s="9"/>
      <c r="C479" s="9"/>
      <c r="D479" s="4"/>
      <c r="E479" s="4"/>
      <c r="F479" s="4"/>
      <c r="G479" s="4"/>
      <c r="H479" s="4"/>
      <c r="I479" s="4"/>
      <c r="J479" s="4"/>
      <c r="K479" s="4"/>
      <c r="L479" s="38"/>
      <c r="M479" s="4"/>
      <c r="N479" s="4"/>
      <c r="O479" s="4"/>
      <c r="P479" s="4"/>
      <c r="Q479" s="4"/>
      <c r="R479" s="4"/>
      <c r="S479" s="4"/>
      <c r="T479" s="4"/>
      <c r="U479" s="4"/>
      <c r="V479" s="4"/>
      <c r="W479" s="4"/>
      <c r="X479" s="4"/>
      <c r="Y479" s="4"/>
      <c r="Z479" s="4"/>
      <c r="AA479" s="4"/>
      <c r="AB479" s="4"/>
    </row>
    <row r="480" spans="1:28" ht="13.5" customHeight="1">
      <c r="A480" s="4"/>
      <c r="B480" s="9"/>
      <c r="C480" s="9"/>
      <c r="D480" s="4"/>
      <c r="E480" s="4"/>
      <c r="F480" s="4"/>
      <c r="G480" s="4"/>
      <c r="H480" s="4"/>
      <c r="I480" s="4"/>
      <c r="J480" s="4"/>
      <c r="K480" s="4"/>
      <c r="L480" s="38"/>
      <c r="M480" s="4"/>
      <c r="N480" s="4"/>
      <c r="O480" s="4"/>
      <c r="P480" s="4"/>
      <c r="Q480" s="4"/>
      <c r="R480" s="4"/>
      <c r="S480" s="4"/>
      <c r="T480" s="4"/>
      <c r="U480" s="4"/>
      <c r="V480" s="4"/>
      <c r="W480" s="4"/>
      <c r="X480" s="4"/>
      <c r="Y480" s="4"/>
      <c r="Z480" s="4"/>
      <c r="AA480" s="4"/>
      <c r="AB480" s="4"/>
    </row>
    <row r="481" spans="1:28" ht="13.5" customHeight="1">
      <c r="A481" s="4"/>
      <c r="B481" s="9"/>
      <c r="C481" s="9"/>
      <c r="D481" s="4"/>
      <c r="E481" s="4"/>
      <c r="F481" s="4"/>
      <c r="G481" s="4"/>
      <c r="H481" s="4"/>
      <c r="I481" s="4"/>
      <c r="J481" s="4"/>
      <c r="K481" s="4"/>
      <c r="L481" s="38"/>
      <c r="M481" s="4"/>
      <c r="N481" s="4"/>
      <c r="O481" s="4"/>
      <c r="P481" s="4"/>
      <c r="Q481" s="4"/>
      <c r="R481" s="4"/>
      <c r="S481" s="4"/>
      <c r="T481" s="4"/>
      <c r="U481" s="4"/>
      <c r="V481" s="4"/>
      <c r="W481" s="4"/>
      <c r="X481" s="4"/>
      <c r="Y481" s="4"/>
      <c r="Z481" s="4"/>
      <c r="AA481" s="4"/>
      <c r="AB481" s="4"/>
    </row>
    <row r="482" spans="1:28" ht="13.5" customHeight="1">
      <c r="A482" s="4"/>
      <c r="B482" s="9"/>
      <c r="C482" s="9"/>
      <c r="D482" s="4"/>
      <c r="E482" s="4"/>
      <c r="F482" s="4"/>
      <c r="G482" s="4"/>
      <c r="H482" s="4"/>
      <c r="I482" s="4"/>
      <c r="J482" s="4"/>
      <c r="K482" s="4"/>
      <c r="L482" s="38"/>
      <c r="M482" s="4"/>
      <c r="N482" s="4"/>
      <c r="O482" s="4"/>
      <c r="P482" s="4"/>
      <c r="Q482" s="4"/>
      <c r="R482" s="4"/>
      <c r="S482" s="4"/>
      <c r="T482" s="4"/>
      <c r="U482" s="4"/>
      <c r="V482" s="4"/>
      <c r="W482" s="4"/>
      <c r="X482" s="4"/>
      <c r="Y482" s="4"/>
      <c r="Z482" s="4"/>
      <c r="AA482" s="4"/>
      <c r="AB482" s="4"/>
    </row>
    <row r="483" spans="1:28" ht="13.5" customHeight="1">
      <c r="A483" s="4"/>
      <c r="B483" s="9"/>
      <c r="C483" s="9"/>
      <c r="D483" s="4"/>
      <c r="E483" s="4"/>
      <c r="F483" s="4"/>
      <c r="G483" s="4"/>
      <c r="H483" s="4"/>
      <c r="I483" s="4"/>
      <c r="J483" s="4"/>
      <c r="K483" s="4"/>
      <c r="L483" s="38"/>
      <c r="M483" s="4"/>
      <c r="N483" s="4"/>
      <c r="O483" s="4"/>
      <c r="P483" s="4"/>
      <c r="Q483" s="4"/>
      <c r="R483" s="4"/>
      <c r="S483" s="4"/>
      <c r="T483" s="4"/>
      <c r="U483" s="4"/>
      <c r="V483" s="4"/>
      <c r="W483" s="4"/>
      <c r="X483" s="4"/>
      <c r="Y483" s="4"/>
      <c r="Z483" s="4"/>
      <c r="AA483" s="4"/>
      <c r="AB483" s="4"/>
    </row>
    <row r="484" spans="1:28" ht="13.5" customHeight="1">
      <c r="A484" s="4"/>
      <c r="B484" s="9"/>
      <c r="C484" s="9"/>
      <c r="D484" s="4"/>
      <c r="E484" s="4"/>
      <c r="F484" s="4"/>
      <c r="G484" s="4"/>
      <c r="H484" s="4"/>
      <c r="I484" s="4"/>
      <c r="J484" s="4"/>
      <c r="K484" s="4"/>
      <c r="L484" s="38"/>
      <c r="M484" s="4"/>
      <c r="N484" s="4"/>
      <c r="O484" s="4"/>
      <c r="P484" s="4"/>
      <c r="Q484" s="4"/>
      <c r="R484" s="4"/>
      <c r="S484" s="4"/>
      <c r="T484" s="4"/>
      <c r="U484" s="4"/>
      <c r="V484" s="4"/>
      <c r="W484" s="4"/>
      <c r="X484" s="4"/>
      <c r="Y484" s="4"/>
      <c r="Z484" s="4"/>
      <c r="AA484" s="4"/>
      <c r="AB484" s="4"/>
    </row>
    <row r="485" spans="1:28" ht="13.5" customHeight="1">
      <c r="A485" s="4"/>
      <c r="B485" s="9"/>
      <c r="C485" s="9"/>
      <c r="D485" s="4"/>
      <c r="E485" s="4"/>
      <c r="F485" s="4"/>
      <c r="G485" s="4"/>
      <c r="H485" s="4"/>
      <c r="I485" s="4"/>
      <c r="J485" s="4"/>
      <c r="K485" s="4"/>
      <c r="L485" s="38"/>
      <c r="M485" s="4"/>
      <c r="N485" s="4"/>
      <c r="O485" s="4"/>
      <c r="P485" s="4"/>
      <c r="Q485" s="4"/>
      <c r="R485" s="4"/>
      <c r="S485" s="4"/>
      <c r="T485" s="4"/>
      <c r="U485" s="4"/>
      <c r="V485" s="4"/>
      <c r="W485" s="4"/>
      <c r="X485" s="4"/>
      <c r="Y485" s="4"/>
      <c r="Z485" s="4"/>
      <c r="AA485" s="4"/>
      <c r="AB485" s="4"/>
    </row>
    <row r="486" spans="1:28" ht="13.5" customHeight="1">
      <c r="A486" s="4"/>
      <c r="B486" s="9"/>
      <c r="C486" s="9"/>
      <c r="D486" s="4"/>
      <c r="E486" s="4"/>
      <c r="F486" s="4"/>
      <c r="G486" s="4"/>
      <c r="H486" s="4"/>
      <c r="I486" s="4"/>
      <c r="J486" s="4"/>
      <c r="K486" s="4"/>
      <c r="L486" s="38"/>
      <c r="M486" s="4"/>
      <c r="N486" s="4"/>
      <c r="O486" s="4"/>
      <c r="P486" s="4"/>
      <c r="Q486" s="4"/>
      <c r="R486" s="4"/>
      <c r="S486" s="4"/>
      <c r="T486" s="4"/>
      <c r="U486" s="4"/>
      <c r="V486" s="4"/>
      <c r="W486" s="4"/>
      <c r="X486" s="4"/>
      <c r="Y486" s="4"/>
      <c r="Z486" s="4"/>
      <c r="AA486" s="4"/>
      <c r="AB486" s="4"/>
    </row>
    <row r="487" spans="1:28" ht="13.5" customHeight="1">
      <c r="A487" s="4"/>
      <c r="B487" s="9"/>
      <c r="C487" s="9"/>
      <c r="D487" s="4"/>
      <c r="E487" s="4"/>
      <c r="F487" s="4"/>
      <c r="G487" s="4"/>
      <c r="H487" s="4"/>
      <c r="I487" s="4"/>
      <c r="J487" s="4"/>
      <c r="K487" s="4"/>
      <c r="L487" s="38"/>
      <c r="M487" s="4"/>
      <c r="N487" s="4"/>
      <c r="O487" s="4"/>
      <c r="P487" s="4"/>
      <c r="Q487" s="4"/>
      <c r="R487" s="4"/>
      <c r="S487" s="4"/>
      <c r="T487" s="4"/>
      <c r="U487" s="4"/>
      <c r="V487" s="4"/>
      <c r="W487" s="4"/>
      <c r="X487" s="4"/>
      <c r="Y487" s="4"/>
      <c r="Z487" s="4"/>
      <c r="AA487" s="4"/>
      <c r="AB487" s="4"/>
    </row>
    <row r="488" spans="1:28" ht="13.5" customHeight="1">
      <c r="A488" s="4"/>
      <c r="B488" s="9"/>
      <c r="C488" s="9"/>
      <c r="D488" s="4"/>
      <c r="E488" s="4"/>
      <c r="F488" s="4"/>
      <c r="G488" s="4"/>
      <c r="H488" s="4"/>
      <c r="I488" s="4"/>
      <c r="J488" s="4"/>
      <c r="K488" s="4"/>
      <c r="L488" s="38"/>
      <c r="M488" s="4"/>
      <c r="N488" s="4"/>
      <c r="O488" s="4"/>
      <c r="P488" s="4"/>
      <c r="Q488" s="4"/>
      <c r="R488" s="4"/>
      <c r="S488" s="4"/>
      <c r="T488" s="4"/>
      <c r="U488" s="4"/>
      <c r="V488" s="4"/>
      <c r="W488" s="4"/>
      <c r="X488" s="4"/>
      <c r="Y488" s="4"/>
      <c r="Z488" s="4"/>
      <c r="AA488" s="4"/>
      <c r="AB488" s="4"/>
    </row>
    <row r="489" spans="1:28" ht="13.5" customHeight="1">
      <c r="A489" s="4"/>
      <c r="B489" s="9"/>
      <c r="C489" s="9"/>
      <c r="D489" s="4"/>
      <c r="E489" s="4"/>
      <c r="F489" s="4"/>
      <c r="G489" s="4"/>
      <c r="H489" s="4"/>
      <c r="I489" s="4"/>
      <c r="J489" s="4"/>
      <c r="K489" s="4"/>
      <c r="L489" s="38"/>
      <c r="M489" s="4"/>
      <c r="N489" s="4"/>
      <c r="O489" s="4"/>
      <c r="P489" s="4"/>
      <c r="Q489" s="4"/>
      <c r="R489" s="4"/>
      <c r="S489" s="4"/>
      <c r="T489" s="4"/>
      <c r="U489" s="4"/>
      <c r="V489" s="4"/>
      <c r="W489" s="4"/>
      <c r="X489" s="4"/>
      <c r="Y489" s="4"/>
      <c r="Z489" s="4"/>
      <c r="AA489" s="4"/>
      <c r="AB489" s="4"/>
    </row>
    <row r="490" spans="1:28" ht="13.5" customHeight="1">
      <c r="A490" s="4"/>
      <c r="B490" s="9"/>
      <c r="C490" s="9"/>
      <c r="D490" s="4"/>
      <c r="E490" s="4"/>
      <c r="F490" s="4"/>
      <c r="G490" s="4"/>
      <c r="H490" s="4"/>
      <c r="I490" s="4"/>
      <c r="J490" s="4"/>
      <c r="K490" s="4"/>
      <c r="L490" s="38"/>
      <c r="M490" s="4"/>
      <c r="N490" s="4"/>
      <c r="O490" s="4"/>
      <c r="P490" s="4"/>
      <c r="Q490" s="4"/>
      <c r="R490" s="4"/>
      <c r="S490" s="4"/>
      <c r="T490" s="4"/>
      <c r="U490" s="4"/>
      <c r="V490" s="4"/>
      <c r="W490" s="4"/>
      <c r="X490" s="4"/>
      <c r="Y490" s="4"/>
      <c r="Z490" s="4"/>
      <c r="AA490" s="4"/>
      <c r="AB490" s="4"/>
    </row>
    <row r="491" spans="1:28" ht="13.5" customHeight="1">
      <c r="A491" s="4"/>
      <c r="B491" s="9"/>
      <c r="C491" s="9"/>
      <c r="D491" s="4"/>
      <c r="E491" s="4"/>
      <c r="F491" s="4"/>
      <c r="G491" s="4"/>
      <c r="H491" s="4"/>
      <c r="I491" s="4"/>
      <c r="J491" s="4"/>
      <c r="K491" s="4"/>
      <c r="L491" s="38"/>
      <c r="M491" s="4"/>
      <c r="N491" s="4"/>
      <c r="O491" s="4"/>
      <c r="P491" s="4"/>
      <c r="Q491" s="4"/>
      <c r="R491" s="4"/>
      <c r="S491" s="4"/>
      <c r="T491" s="4"/>
      <c r="U491" s="4"/>
      <c r="V491" s="4"/>
      <c r="W491" s="4"/>
      <c r="X491" s="4"/>
      <c r="Y491" s="4"/>
      <c r="Z491" s="4"/>
      <c r="AA491" s="4"/>
      <c r="AB491" s="4"/>
    </row>
    <row r="492" spans="1:28" ht="13.5" customHeight="1">
      <c r="A492" s="4"/>
      <c r="B492" s="9"/>
      <c r="C492" s="9"/>
      <c r="D492" s="4"/>
      <c r="E492" s="4"/>
      <c r="F492" s="4"/>
      <c r="G492" s="4"/>
      <c r="H492" s="4"/>
      <c r="I492" s="4"/>
      <c r="J492" s="4"/>
      <c r="K492" s="4"/>
      <c r="L492" s="38"/>
      <c r="M492" s="4"/>
      <c r="N492" s="4"/>
      <c r="O492" s="4"/>
      <c r="P492" s="4"/>
      <c r="Q492" s="4"/>
      <c r="R492" s="4"/>
      <c r="S492" s="4"/>
      <c r="T492" s="4"/>
      <c r="U492" s="4"/>
      <c r="V492" s="4"/>
      <c r="W492" s="4"/>
      <c r="X492" s="4"/>
      <c r="Y492" s="4"/>
      <c r="Z492" s="4"/>
      <c r="AA492" s="4"/>
      <c r="AB492" s="4"/>
    </row>
    <row r="493" spans="1:28" ht="13.5" customHeight="1">
      <c r="A493" s="4"/>
      <c r="B493" s="9"/>
      <c r="C493" s="9"/>
      <c r="D493" s="4"/>
      <c r="E493" s="4"/>
      <c r="F493" s="4"/>
      <c r="G493" s="4"/>
      <c r="H493" s="4"/>
      <c r="I493" s="4"/>
      <c r="J493" s="4"/>
      <c r="K493" s="4"/>
      <c r="L493" s="38"/>
      <c r="M493" s="4"/>
      <c r="N493" s="4"/>
      <c r="O493" s="4"/>
      <c r="P493" s="4"/>
      <c r="Q493" s="4"/>
      <c r="R493" s="4"/>
      <c r="S493" s="4"/>
      <c r="T493" s="4"/>
      <c r="U493" s="4"/>
      <c r="V493" s="4"/>
      <c r="W493" s="4"/>
      <c r="X493" s="4"/>
      <c r="Y493" s="4"/>
      <c r="Z493" s="4"/>
      <c r="AA493" s="4"/>
      <c r="AB493" s="4"/>
    </row>
    <row r="494" spans="1:28" ht="13.5" customHeight="1">
      <c r="A494" s="4"/>
      <c r="B494" s="9"/>
      <c r="C494" s="9"/>
      <c r="D494" s="4"/>
      <c r="E494" s="4"/>
      <c r="F494" s="4"/>
      <c r="G494" s="4"/>
      <c r="H494" s="4"/>
      <c r="I494" s="4"/>
      <c r="J494" s="4"/>
      <c r="K494" s="4"/>
      <c r="L494" s="38"/>
      <c r="M494" s="4"/>
      <c r="N494" s="4"/>
      <c r="O494" s="4"/>
      <c r="P494" s="4"/>
      <c r="Q494" s="4"/>
      <c r="R494" s="4"/>
      <c r="S494" s="4"/>
      <c r="T494" s="4"/>
      <c r="U494" s="4"/>
      <c r="V494" s="4"/>
      <c r="W494" s="4"/>
      <c r="X494" s="4"/>
      <c r="Y494" s="4"/>
      <c r="Z494" s="4"/>
      <c r="AA494" s="4"/>
      <c r="AB494" s="4"/>
    </row>
    <row r="495" spans="1:28" ht="13.5" customHeight="1">
      <c r="A495" s="4"/>
      <c r="B495" s="9"/>
      <c r="C495" s="9"/>
      <c r="D495" s="4"/>
      <c r="E495" s="4"/>
      <c r="F495" s="4"/>
      <c r="G495" s="4"/>
      <c r="H495" s="4"/>
      <c r="I495" s="4"/>
      <c r="J495" s="4"/>
      <c r="K495" s="4"/>
      <c r="L495" s="38"/>
      <c r="M495" s="4"/>
      <c r="N495" s="4"/>
      <c r="O495" s="4"/>
      <c r="P495" s="4"/>
      <c r="Q495" s="4"/>
      <c r="R495" s="4"/>
      <c r="S495" s="4"/>
      <c r="T495" s="4"/>
      <c r="U495" s="4"/>
      <c r="V495" s="4"/>
      <c r="W495" s="4"/>
      <c r="X495" s="4"/>
      <c r="Y495" s="4"/>
      <c r="Z495" s="4"/>
      <c r="AA495" s="4"/>
      <c r="AB495" s="4"/>
    </row>
    <row r="496" spans="1:28" ht="13.5" customHeight="1">
      <c r="A496" s="4"/>
      <c r="B496" s="9"/>
      <c r="C496" s="9"/>
      <c r="D496" s="4"/>
      <c r="E496" s="4"/>
      <c r="F496" s="4"/>
      <c r="G496" s="4"/>
      <c r="H496" s="4"/>
      <c r="I496" s="4"/>
      <c r="J496" s="4"/>
      <c r="K496" s="4"/>
      <c r="L496" s="38"/>
      <c r="M496" s="4"/>
      <c r="N496" s="4"/>
      <c r="O496" s="4"/>
      <c r="P496" s="4"/>
      <c r="Q496" s="4"/>
      <c r="R496" s="4"/>
      <c r="S496" s="4"/>
      <c r="T496" s="4"/>
      <c r="U496" s="4"/>
      <c r="V496" s="4"/>
      <c r="W496" s="4"/>
      <c r="X496" s="4"/>
      <c r="Y496" s="4"/>
      <c r="Z496" s="4"/>
      <c r="AA496" s="4"/>
      <c r="AB496" s="4"/>
    </row>
    <row r="497" spans="1:28" ht="13.5" customHeight="1">
      <c r="A497" s="4"/>
      <c r="B497" s="9"/>
      <c r="C497" s="9"/>
      <c r="D497" s="4"/>
      <c r="E497" s="4"/>
      <c r="F497" s="4"/>
      <c r="G497" s="4"/>
      <c r="H497" s="4"/>
      <c r="I497" s="4"/>
      <c r="J497" s="4"/>
      <c r="K497" s="4"/>
      <c r="L497" s="38"/>
      <c r="M497" s="4"/>
      <c r="N497" s="4"/>
      <c r="O497" s="4"/>
      <c r="P497" s="4"/>
      <c r="Q497" s="4"/>
      <c r="R497" s="4"/>
      <c r="S497" s="4"/>
      <c r="T497" s="4"/>
      <c r="U497" s="4"/>
      <c r="V497" s="4"/>
      <c r="W497" s="4"/>
      <c r="X497" s="4"/>
      <c r="Y497" s="4"/>
      <c r="Z497" s="4"/>
      <c r="AA497" s="4"/>
      <c r="AB497" s="4"/>
    </row>
    <row r="498" spans="1:28" ht="13.5" customHeight="1">
      <c r="A498" s="4"/>
      <c r="B498" s="9"/>
      <c r="C498" s="9"/>
      <c r="D498" s="4"/>
      <c r="E498" s="4"/>
      <c r="F498" s="4"/>
      <c r="G498" s="4"/>
      <c r="H498" s="4"/>
      <c r="I498" s="4"/>
      <c r="J498" s="4"/>
      <c r="K498" s="4"/>
      <c r="L498" s="38"/>
      <c r="M498" s="4"/>
      <c r="N498" s="4"/>
      <c r="O498" s="4"/>
      <c r="P498" s="4"/>
      <c r="Q498" s="4"/>
      <c r="R498" s="4"/>
      <c r="S498" s="4"/>
      <c r="T498" s="4"/>
      <c r="U498" s="4"/>
      <c r="V498" s="4"/>
      <c r="W498" s="4"/>
      <c r="X498" s="4"/>
      <c r="Y498" s="4"/>
      <c r="Z498" s="4"/>
      <c r="AA498" s="4"/>
      <c r="AB498" s="4"/>
    </row>
    <row r="499" spans="1:28" ht="13.5" customHeight="1">
      <c r="A499" s="4"/>
      <c r="B499" s="9"/>
      <c r="C499" s="9"/>
      <c r="D499" s="4"/>
      <c r="E499" s="4"/>
      <c r="F499" s="4"/>
      <c r="G499" s="4"/>
      <c r="H499" s="4"/>
      <c r="I499" s="4"/>
      <c r="J499" s="4"/>
      <c r="K499" s="4"/>
      <c r="L499" s="38"/>
      <c r="M499" s="4"/>
      <c r="N499" s="4"/>
      <c r="O499" s="4"/>
      <c r="P499" s="4"/>
      <c r="Q499" s="4"/>
      <c r="R499" s="4"/>
      <c r="S499" s="4"/>
      <c r="T499" s="4"/>
      <c r="U499" s="4"/>
      <c r="V499" s="4"/>
      <c r="W499" s="4"/>
      <c r="X499" s="4"/>
      <c r="Y499" s="4"/>
      <c r="Z499" s="4"/>
      <c r="AA499" s="4"/>
      <c r="AB499" s="4"/>
    </row>
    <row r="500" spans="1:28" ht="13.5" customHeight="1">
      <c r="A500" s="4"/>
      <c r="B500" s="9"/>
      <c r="C500" s="9"/>
      <c r="D500" s="4"/>
      <c r="E500" s="4"/>
      <c r="F500" s="4"/>
      <c r="G500" s="4"/>
      <c r="H500" s="4"/>
      <c r="I500" s="4"/>
      <c r="J500" s="4"/>
      <c r="K500" s="4"/>
      <c r="L500" s="38"/>
      <c r="M500" s="4"/>
      <c r="N500" s="4"/>
      <c r="O500" s="4"/>
      <c r="P500" s="4"/>
      <c r="Q500" s="4"/>
      <c r="R500" s="4"/>
      <c r="S500" s="4"/>
      <c r="T500" s="4"/>
      <c r="U500" s="4"/>
      <c r="V500" s="4"/>
      <c r="W500" s="4"/>
      <c r="X500" s="4"/>
      <c r="Y500" s="4"/>
      <c r="Z500" s="4"/>
      <c r="AA500" s="4"/>
      <c r="AB500" s="4"/>
    </row>
    <row r="501" spans="1:28" ht="13.5" customHeight="1">
      <c r="A501" s="4"/>
      <c r="B501" s="9"/>
      <c r="C501" s="9"/>
      <c r="D501" s="4"/>
      <c r="E501" s="4"/>
      <c r="F501" s="4"/>
      <c r="G501" s="4"/>
      <c r="H501" s="4"/>
      <c r="I501" s="4"/>
      <c r="J501" s="4"/>
      <c r="K501" s="4"/>
      <c r="L501" s="38"/>
      <c r="M501" s="4"/>
      <c r="N501" s="4"/>
      <c r="O501" s="4"/>
      <c r="P501" s="4"/>
      <c r="Q501" s="4"/>
      <c r="R501" s="4"/>
      <c r="S501" s="4"/>
      <c r="T501" s="4"/>
      <c r="U501" s="4"/>
      <c r="V501" s="4"/>
      <c r="W501" s="4"/>
      <c r="X501" s="4"/>
      <c r="Y501" s="4"/>
      <c r="Z501" s="4"/>
      <c r="AA501" s="4"/>
      <c r="AB501" s="4"/>
    </row>
    <row r="502" spans="1:28" ht="13.5" customHeight="1">
      <c r="A502" s="4"/>
      <c r="B502" s="9"/>
      <c r="C502" s="9"/>
      <c r="D502" s="4"/>
      <c r="E502" s="4"/>
      <c r="F502" s="4"/>
      <c r="G502" s="4"/>
      <c r="H502" s="4"/>
      <c r="I502" s="4"/>
      <c r="J502" s="4"/>
      <c r="K502" s="4"/>
      <c r="L502" s="38"/>
      <c r="M502" s="4"/>
      <c r="N502" s="4"/>
      <c r="O502" s="4"/>
      <c r="P502" s="4"/>
      <c r="Q502" s="4"/>
      <c r="R502" s="4"/>
      <c r="S502" s="4"/>
      <c r="T502" s="4"/>
      <c r="U502" s="4"/>
      <c r="V502" s="4"/>
      <c r="W502" s="4"/>
      <c r="X502" s="4"/>
      <c r="Y502" s="4"/>
      <c r="Z502" s="4"/>
      <c r="AA502" s="4"/>
      <c r="AB502" s="4"/>
    </row>
    <row r="503" spans="1:28" ht="13.5" customHeight="1">
      <c r="A503" s="4"/>
      <c r="B503" s="9"/>
      <c r="C503" s="9"/>
      <c r="D503" s="4"/>
      <c r="E503" s="4"/>
      <c r="F503" s="4"/>
      <c r="G503" s="4"/>
      <c r="H503" s="4"/>
      <c r="I503" s="4"/>
      <c r="J503" s="4"/>
      <c r="K503" s="4"/>
      <c r="L503" s="38"/>
      <c r="M503" s="4"/>
      <c r="N503" s="4"/>
      <c r="O503" s="4"/>
      <c r="P503" s="4"/>
      <c r="Q503" s="4"/>
      <c r="R503" s="4"/>
      <c r="S503" s="4"/>
      <c r="T503" s="4"/>
      <c r="U503" s="4"/>
      <c r="V503" s="4"/>
      <c r="W503" s="4"/>
      <c r="X503" s="4"/>
      <c r="Y503" s="4"/>
      <c r="Z503" s="4"/>
      <c r="AA503" s="4"/>
      <c r="AB503" s="4"/>
    </row>
    <row r="504" spans="1:28" ht="13.5" customHeight="1">
      <c r="A504" s="4"/>
      <c r="B504" s="9"/>
      <c r="C504" s="9"/>
      <c r="D504" s="4"/>
      <c r="E504" s="4"/>
      <c r="F504" s="4"/>
      <c r="G504" s="4"/>
      <c r="H504" s="4"/>
      <c r="I504" s="4"/>
      <c r="J504" s="4"/>
      <c r="K504" s="4"/>
      <c r="L504" s="38"/>
      <c r="M504" s="4"/>
      <c r="N504" s="4"/>
      <c r="O504" s="4"/>
      <c r="P504" s="4"/>
      <c r="Q504" s="4"/>
      <c r="R504" s="4"/>
      <c r="S504" s="4"/>
      <c r="T504" s="4"/>
      <c r="U504" s="4"/>
      <c r="V504" s="4"/>
      <c r="W504" s="4"/>
      <c r="X504" s="4"/>
      <c r="Y504" s="4"/>
      <c r="Z504" s="4"/>
      <c r="AA504" s="4"/>
      <c r="AB504" s="4"/>
    </row>
    <row r="505" spans="1:28" ht="13.5" customHeight="1">
      <c r="A505" s="4"/>
      <c r="B505" s="9"/>
      <c r="C505" s="9"/>
      <c r="D505" s="4"/>
      <c r="E505" s="4"/>
      <c r="F505" s="4"/>
      <c r="G505" s="4"/>
      <c r="H505" s="4"/>
      <c r="I505" s="4"/>
      <c r="J505" s="4"/>
      <c r="K505" s="4"/>
      <c r="L505" s="38"/>
      <c r="M505" s="4"/>
      <c r="N505" s="4"/>
      <c r="O505" s="4"/>
      <c r="P505" s="4"/>
      <c r="Q505" s="4"/>
      <c r="R505" s="4"/>
      <c r="S505" s="4"/>
      <c r="T505" s="4"/>
      <c r="U505" s="4"/>
      <c r="V505" s="4"/>
      <c r="W505" s="4"/>
      <c r="X505" s="4"/>
      <c r="Y505" s="4"/>
      <c r="Z505" s="4"/>
      <c r="AA505" s="4"/>
      <c r="AB505" s="4"/>
    </row>
    <row r="506" spans="1:28" ht="13.5" customHeight="1">
      <c r="A506" s="4"/>
      <c r="B506" s="9"/>
      <c r="C506" s="9"/>
      <c r="D506" s="4"/>
      <c r="E506" s="4"/>
      <c r="F506" s="4"/>
      <c r="G506" s="4"/>
      <c r="H506" s="4"/>
      <c r="I506" s="4"/>
      <c r="J506" s="4"/>
      <c r="K506" s="4"/>
      <c r="L506" s="38"/>
      <c r="M506" s="4"/>
      <c r="N506" s="4"/>
      <c r="O506" s="4"/>
      <c r="P506" s="4"/>
      <c r="Q506" s="4"/>
      <c r="R506" s="4"/>
      <c r="S506" s="4"/>
      <c r="T506" s="4"/>
      <c r="U506" s="4"/>
      <c r="V506" s="4"/>
      <c r="W506" s="4"/>
      <c r="X506" s="4"/>
      <c r="Y506" s="4"/>
      <c r="Z506" s="4"/>
      <c r="AA506" s="4"/>
      <c r="AB506" s="4"/>
    </row>
    <row r="507" spans="1:28" ht="13.5" customHeight="1">
      <c r="A507" s="4"/>
      <c r="B507" s="9"/>
      <c r="C507" s="9"/>
      <c r="D507" s="4"/>
      <c r="E507" s="4"/>
      <c r="F507" s="4"/>
      <c r="G507" s="4"/>
      <c r="H507" s="4"/>
      <c r="I507" s="4"/>
      <c r="J507" s="4"/>
      <c r="K507" s="4"/>
      <c r="L507" s="38"/>
      <c r="M507" s="4"/>
      <c r="N507" s="4"/>
      <c r="O507" s="4"/>
      <c r="P507" s="4"/>
      <c r="Q507" s="4"/>
      <c r="R507" s="4"/>
      <c r="S507" s="4"/>
      <c r="T507" s="4"/>
      <c r="U507" s="4"/>
      <c r="V507" s="4"/>
      <c r="W507" s="4"/>
      <c r="X507" s="4"/>
      <c r="Y507" s="4"/>
      <c r="Z507" s="4"/>
      <c r="AA507" s="4"/>
      <c r="AB507" s="4"/>
    </row>
    <row r="508" spans="1:28" ht="13.5" customHeight="1">
      <c r="A508" s="4"/>
      <c r="B508" s="9"/>
      <c r="C508" s="9"/>
      <c r="D508" s="4"/>
      <c r="E508" s="4"/>
      <c r="F508" s="4"/>
      <c r="G508" s="4"/>
      <c r="H508" s="4"/>
      <c r="I508" s="4"/>
      <c r="J508" s="4"/>
      <c r="K508" s="4"/>
      <c r="L508" s="38"/>
      <c r="M508" s="4"/>
      <c r="N508" s="4"/>
      <c r="O508" s="4"/>
      <c r="P508" s="4"/>
      <c r="Q508" s="4"/>
      <c r="R508" s="4"/>
      <c r="S508" s="4"/>
      <c r="T508" s="4"/>
      <c r="U508" s="4"/>
      <c r="V508" s="4"/>
      <c r="W508" s="4"/>
      <c r="X508" s="4"/>
      <c r="Y508" s="4"/>
      <c r="Z508" s="4"/>
      <c r="AA508" s="4"/>
      <c r="AB508" s="4"/>
    </row>
    <row r="509" spans="1:28" ht="13.5" customHeight="1">
      <c r="A509" s="4"/>
      <c r="B509" s="9"/>
      <c r="C509" s="9"/>
      <c r="D509" s="4"/>
      <c r="E509" s="4"/>
      <c r="F509" s="4"/>
      <c r="G509" s="4"/>
      <c r="H509" s="4"/>
      <c r="I509" s="4"/>
      <c r="J509" s="4"/>
      <c r="K509" s="4"/>
      <c r="L509" s="38"/>
      <c r="M509" s="4"/>
      <c r="N509" s="4"/>
      <c r="O509" s="4"/>
      <c r="P509" s="4"/>
      <c r="Q509" s="4"/>
      <c r="R509" s="4"/>
      <c r="S509" s="4"/>
      <c r="T509" s="4"/>
      <c r="U509" s="4"/>
      <c r="V509" s="4"/>
      <c r="W509" s="4"/>
      <c r="X509" s="4"/>
      <c r="Y509" s="4"/>
      <c r="Z509" s="4"/>
      <c r="AA509" s="4"/>
      <c r="AB509" s="4"/>
    </row>
    <row r="510" spans="1:28" ht="13.5" customHeight="1">
      <c r="A510" s="4"/>
      <c r="B510" s="9"/>
      <c r="C510" s="9"/>
      <c r="D510" s="4"/>
      <c r="E510" s="4"/>
      <c r="F510" s="4"/>
      <c r="G510" s="4"/>
      <c r="H510" s="4"/>
      <c r="I510" s="4"/>
      <c r="J510" s="4"/>
      <c r="K510" s="4"/>
      <c r="L510" s="38"/>
      <c r="M510" s="4"/>
      <c r="N510" s="4"/>
      <c r="O510" s="4"/>
      <c r="P510" s="4"/>
      <c r="Q510" s="4"/>
      <c r="R510" s="4"/>
      <c r="S510" s="4"/>
      <c r="T510" s="4"/>
      <c r="U510" s="4"/>
      <c r="V510" s="4"/>
      <c r="W510" s="4"/>
      <c r="X510" s="4"/>
      <c r="Y510" s="4"/>
      <c r="Z510" s="4"/>
      <c r="AA510" s="4"/>
      <c r="AB510" s="4"/>
    </row>
    <row r="511" spans="1:28" ht="13.5" customHeight="1">
      <c r="A511" s="4"/>
      <c r="B511" s="9"/>
      <c r="C511" s="9"/>
      <c r="D511" s="4"/>
      <c r="E511" s="4"/>
      <c r="F511" s="4"/>
      <c r="G511" s="4"/>
      <c r="H511" s="4"/>
      <c r="I511" s="4"/>
      <c r="J511" s="4"/>
      <c r="K511" s="4"/>
      <c r="L511" s="38"/>
      <c r="M511" s="4"/>
      <c r="N511" s="4"/>
      <c r="O511" s="4"/>
      <c r="P511" s="4"/>
      <c r="Q511" s="4"/>
      <c r="R511" s="4"/>
      <c r="S511" s="4"/>
      <c r="T511" s="4"/>
      <c r="U511" s="4"/>
      <c r="V511" s="4"/>
      <c r="W511" s="4"/>
      <c r="X511" s="4"/>
      <c r="Y511" s="4"/>
      <c r="Z511" s="4"/>
      <c r="AA511" s="4"/>
      <c r="AB511" s="4"/>
    </row>
    <row r="512" spans="1:28" ht="13.5" customHeight="1">
      <c r="A512" s="4"/>
      <c r="B512" s="9"/>
      <c r="C512" s="9"/>
      <c r="D512" s="4"/>
      <c r="E512" s="4"/>
      <c r="F512" s="4"/>
      <c r="G512" s="4"/>
      <c r="H512" s="4"/>
      <c r="I512" s="4"/>
      <c r="J512" s="4"/>
      <c r="K512" s="4"/>
      <c r="L512" s="38"/>
      <c r="M512" s="4"/>
      <c r="N512" s="4"/>
      <c r="O512" s="4"/>
      <c r="P512" s="4"/>
      <c r="Q512" s="4"/>
      <c r="R512" s="4"/>
      <c r="S512" s="4"/>
      <c r="T512" s="4"/>
      <c r="U512" s="4"/>
      <c r="V512" s="4"/>
      <c r="W512" s="4"/>
      <c r="X512" s="4"/>
      <c r="Y512" s="4"/>
      <c r="Z512" s="4"/>
      <c r="AA512" s="4"/>
      <c r="AB512" s="4"/>
    </row>
    <row r="513" spans="1:28" ht="13.5" customHeight="1">
      <c r="A513" s="4"/>
      <c r="B513" s="9"/>
      <c r="C513" s="9"/>
      <c r="D513" s="4"/>
      <c r="E513" s="4"/>
      <c r="F513" s="4"/>
      <c r="G513" s="4"/>
      <c r="H513" s="4"/>
      <c r="I513" s="4"/>
      <c r="J513" s="4"/>
      <c r="K513" s="4"/>
      <c r="L513" s="38"/>
      <c r="M513" s="4"/>
      <c r="N513" s="4"/>
      <c r="O513" s="4"/>
      <c r="P513" s="4"/>
      <c r="Q513" s="4"/>
      <c r="R513" s="4"/>
      <c r="S513" s="4"/>
      <c r="T513" s="4"/>
      <c r="U513" s="4"/>
      <c r="V513" s="4"/>
      <c r="W513" s="4"/>
      <c r="X513" s="4"/>
      <c r="Y513" s="4"/>
      <c r="Z513" s="4"/>
      <c r="AA513" s="4"/>
      <c r="AB513" s="4"/>
    </row>
    <row r="514" spans="1:28" ht="13.5" customHeight="1">
      <c r="A514" s="4"/>
      <c r="B514" s="9"/>
      <c r="C514" s="9"/>
      <c r="D514" s="4"/>
      <c r="E514" s="4"/>
      <c r="F514" s="4"/>
      <c r="G514" s="4"/>
      <c r="H514" s="4"/>
      <c r="I514" s="4"/>
      <c r="J514" s="4"/>
      <c r="K514" s="4"/>
      <c r="L514" s="38"/>
      <c r="M514" s="4"/>
      <c r="N514" s="4"/>
      <c r="O514" s="4"/>
      <c r="P514" s="4"/>
      <c r="Q514" s="4"/>
      <c r="R514" s="4"/>
      <c r="S514" s="4"/>
      <c r="T514" s="4"/>
      <c r="U514" s="4"/>
      <c r="V514" s="4"/>
      <c r="W514" s="4"/>
      <c r="X514" s="4"/>
      <c r="Y514" s="4"/>
      <c r="Z514" s="4"/>
      <c r="AA514" s="4"/>
      <c r="AB514" s="4"/>
    </row>
    <row r="515" spans="1:28" ht="13.5" customHeight="1">
      <c r="A515" s="4"/>
      <c r="B515" s="9"/>
      <c r="C515" s="9"/>
      <c r="D515" s="4"/>
      <c r="E515" s="4"/>
      <c r="F515" s="4"/>
      <c r="G515" s="4"/>
      <c r="H515" s="4"/>
      <c r="I515" s="4"/>
      <c r="J515" s="4"/>
      <c r="K515" s="4"/>
      <c r="L515" s="38"/>
      <c r="M515" s="4"/>
      <c r="N515" s="4"/>
      <c r="O515" s="4"/>
      <c r="P515" s="4"/>
      <c r="Q515" s="4"/>
      <c r="R515" s="4"/>
      <c r="S515" s="4"/>
      <c r="T515" s="4"/>
      <c r="U515" s="4"/>
      <c r="V515" s="4"/>
      <c r="W515" s="4"/>
      <c r="X515" s="4"/>
      <c r="Y515" s="4"/>
      <c r="Z515" s="4"/>
      <c r="AA515" s="4"/>
      <c r="AB515" s="4"/>
    </row>
    <row r="516" spans="1:28" ht="13.5" customHeight="1">
      <c r="A516" s="4"/>
      <c r="B516" s="9"/>
      <c r="C516" s="9"/>
      <c r="D516" s="4"/>
      <c r="E516" s="4"/>
      <c r="F516" s="4"/>
      <c r="G516" s="4"/>
      <c r="H516" s="4"/>
      <c r="I516" s="4"/>
      <c r="J516" s="4"/>
      <c r="K516" s="4"/>
      <c r="L516" s="38"/>
      <c r="M516" s="4"/>
      <c r="N516" s="4"/>
      <c r="O516" s="4"/>
      <c r="P516" s="4"/>
      <c r="Q516" s="4"/>
      <c r="R516" s="4"/>
      <c r="S516" s="4"/>
      <c r="T516" s="4"/>
      <c r="U516" s="4"/>
      <c r="V516" s="4"/>
      <c r="W516" s="4"/>
      <c r="X516" s="4"/>
      <c r="Y516" s="4"/>
      <c r="Z516" s="4"/>
      <c r="AA516" s="4"/>
      <c r="AB516" s="4"/>
    </row>
    <row r="517" spans="1:28" ht="13.5" customHeight="1">
      <c r="A517" s="4"/>
      <c r="B517" s="9"/>
      <c r="C517" s="9"/>
      <c r="D517" s="4"/>
      <c r="E517" s="4"/>
      <c r="F517" s="4"/>
      <c r="G517" s="4"/>
      <c r="H517" s="4"/>
      <c r="I517" s="4"/>
      <c r="J517" s="4"/>
      <c r="K517" s="4"/>
      <c r="L517" s="38"/>
      <c r="M517" s="4"/>
      <c r="N517" s="4"/>
      <c r="O517" s="4"/>
      <c r="P517" s="4"/>
      <c r="Q517" s="4"/>
      <c r="R517" s="4"/>
      <c r="S517" s="4"/>
      <c r="T517" s="4"/>
      <c r="U517" s="4"/>
      <c r="V517" s="4"/>
      <c r="W517" s="4"/>
      <c r="X517" s="4"/>
      <c r="Y517" s="4"/>
      <c r="Z517" s="4"/>
      <c r="AA517" s="4"/>
      <c r="AB517" s="4"/>
    </row>
    <row r="518" spans="1:28" ht="13.5" customHeight="1">
      <c r="A518" s="4"/>
      <c r="B518" s="9"/>
      <c r="C518" s="9"/>
      <c r="D518" s="4"/>
      <c r="E518" s="4"/>
      <c r="F518" s="4"/>
      <c r="G518" s="4"/>
      <c r="H518" s="4"/>
      <c r="I518" s="4"/>
      <c r="J518" s="4"/>
      <c r="K518" s="4"/>
      <c r="L518" s="38"/>
      <c r="M518" s="4"/>
      <c r="N518" s="4"/>
      <c r="O518" s="4"/>
      <c r="P518" s="4"/>
      <c r="Q518" s="4"/>
      <c r="R518" s="4"/>
      <c r="S518" s="4"/>
      <c r="T518" s="4"/>
      <c r="U518" s="4"/>
      <c r="V518" s="4"/>
      <c r="W518" s="4"/>
      <c r="X518" s="4"/>
      <c r="Y518" s="4"/>
      <c r="Z518" s="4"/>
      <c r="AA518" s="4"/>
      <c r="AB518" s="4"/>
    </row>
    <row r="519" spans="1:28" ht="13.5" customHeight="1">
      <c r="A519" s="4"/>
      <c r="B519" s="9"/>
      <c r="C519" s="9"/>
      <c r="D519" s="4"/>
      <c r="E519" s="4"/>
      <c r="F519" s="4"/>
      <c r="G519" s="4"/>
      <c r="H519" s="4"/>
      <c r="I519" s="4"/>
      <c r="J519" s="4"/>
      <c r="K519" s="4"/>
      <c r="L519" s="38"/>
      <c r="M519" s="4"/>
      <c r="N519" s="4"/>
      <c r="O519" s="4"/>
      <c r="P519" s="4"/>
      <c r="Q519" s="4"/>
      <c r="R519" s="4"/>
      <c r="S519" s="4"/>
      <c r="T519" s="4"/>
      <c r="U519" s="4"/>
      <c r="V519" s="4"/>
      <c r="W519" s="4"/>
      <c r="X519" s="4"/>
      <c r="Y519" s="4"/>
      <c r="Z519" s="4"/>
      <c r="AA519" s="4"/>
      <c r="AB519" s="4"/>
    </row>
    <row r="520" spans="1:28" ht="13.5" customHeight="1">
      <c r="A520" s="4"/>
      <c r="B520" s="9"/>
      <c r="C520" s="9"/>
      <c r="D520" s="4"/>
      <c r="E520" s="4"/>
      <c r="F520" s="4"/>
      <c r="G520" s="4"/>
      <c r="H520" s="4"/>
      <c r="I520" s="4"/>
      <c r="J520" s="4"/>
      <c r="K520" s="4"/>
      <c r="L520" s="38"/>
      <c r="M520" s="4"/>
      <c r="N520" s="4"/>
      <c r="O520" s="4"/>
      <c r="P520" s="4"/>
      <c r="Q520" s="4"/>
      <c r="R520" s="4"/>
      <c r="S520" s="4"/>
      <c r="T520" s="4"/>
      <c r="U520" s="4"/>
      <c r="V520" s="4"/>
      <c r="W520" s="4"/>
      <c r="X520" s="4"/>
      <c r="Y520" s="4"/>
      <c r="Z520" s="4"/>
      <c r="AA520" s="4"/>
      <c r="AB520" s="4"/>
    </row>
    <row r="521" spans="1:28" ht="13.5" customHeight="1">
      <c r="A521" s="4"/>
      <c r="B521" s="9"/>
      <c r="C521" s="9"/>
      <c r="D521" s="4"/>
      <c r="E521" s="4"/>
      <c r="F521" s="4"/>
      <c r="G521" s="4"/>
      <c r="H521" s="4"/>
      <c r="I521" s="4"/>
      <c r="J521" s="4"/>
      <c r="K521" s="4"/>
      <c r="L521" s="38"/>
      <c r="M521" s="4"/>
      <c r="N521" s="4"/>
      <c r="O521" s="4"/>
      <c r="P521" s="4"/>
      <c r="Q521" s="4"/>
      <c r="R521" s="4"/>
      <c r="S521" s="4"/>
      <c r="T521" s="4"/>
      <c r="U521" s="4"/>
      <c r="V521" s="4"/>
      <c r="W521" s="4"/>
      <c r="X521" s="4"/>
      <c r="Y521" s="4"/>
      <c r="Z521" s="4"/>
      <c r="AA521" s="4"/>
      <c r="AB521" s="4"/>
    </row>
    <row r="522" spans="1:28" ht="13.5" customHeight="1">
      <c r="A522" s="4"/>
      <c r="B522" s="9"/>
      <c r="C522" s="9"/>
      <c r="D522" s="4"/>
      <c r="E522" s="4"/>
      <c r="F522" s="4"/>
      <c r="G522" s="4"/>
      <c r="H522" s="4"/>
      <c r="I522" s="4"/>
      <c r="J522" s="4"/>
      <c r="K522" s="4"/>
      <c r="L522" s="38"/>
      <c r="M522" s="4"/>
      <c r="N522" s="4"/>
      <c r="O522" s="4"/>
      <c r="P522" s="4"/>
      <c r="Q522" s="4"/>
      <c r="R522" s="4"/>
      <c r="S522" s="4"/>
      <c r="T522" s="4"/>
      <c r="U522" s="4"/>
      <c r="V522" s="4"/>
      <c r="W522" s="4"/>
      <c r="X522" s="4"/>
      <c r="Y522" s="4"/>
      <c r="Z522" s="4"/>
      <c r="AA522" s="4"/>
      <c r="AB522" s="4"/>
    </row>
    <row r="523" spans="1:28" ht="13.5" customHeight="1">
      <c r="A523" s="4"/>
      <c r="B523" s="9"/>
      <c r="C523" s="9"/>
      <c r="D523" s="4"/>
      <c r="E523" s="4"/>
      <c r="F523" s="4"/>
      <c r="G523" s="4"/>
      <c r="H523" s="4"/>
      <c r="I523" s="4"/>
      <c r="J523" s="4"/>
      <c r="K523" s="4"/>
      <c r="L523" s="38"/>
      <c r="M523" s="4"/>
      <c r="N523" s="4"/>
      <c r="O523" s="4"/>
      <c r="P523" s="4"/>
      <c r="Q523" s="4"/>
      <c r="R523" s="4"/>
      <c r="S523" s="4"/>
      <c r="T523" s="4"/>
      <c r="U523" s="4"/>
      <c r="V523" s="4"/>
      <c r="W523" s="4"/>
      <c r="X523" s="4"/>
      <c r="Y523" s="4"/>
      <c r="Z523" s="4"/>
      <c r="AA523" s="4"/>
      <c r="AB523" s="4"/>
    </row>
    <row r="524" spans="1:28" ht="13.5" customHeight="1">
      <c r="A524" s="4"/>
      <c r="B524" s="9"/>
      <c r="C524" s="9"/>
      <c r="D524" s="4"/>
      <c r="E524" s="4"/>
      <c r="F524" s="4"/>
      <c r="G524" s="4"/>
      <c r="H524" s="4"/>
      <c r="I524" s="4"/>
      <c r="J524" s="4"/>
      <c r="K524" s="4"/>
      <c r="L524" s="38"/>
      <c r="M524" s="4"/>
      <c r="N524" s="4"/>
      <c r="O524" s="4"/>
      <c r="P524" s="4"/>
      <c r="Q524" s="4"/>
      <c r="R524" s="4"/>
      <c r="S524" s="4"/>
      <c r="T524" s="4"/>
      <c r="U524" s="4"/>
      <c r="V524" s="4"/>
      <c r="W524" s="4"/>
      <c r="X524" s="4"/>
      <c r="Y524" s="4"/>
      <c r="Z524" s="4"/>
      <c r="AA524" s="4"/>
      <c r="AB524" s="4"/>
    </row>
    <row r="525" spans="1:28" ht="13.5" customHeight="1">
      <c r="A525" s="4"/>
      <c r="B525" s="9"/>
      <c r="C525" s="9"/>
      <c r="D525" s="4"/>
      <c r="E525" s="4"/>
      <c r="F525" s="4"/>
      <c r="G525" s="4"/>
      <c r="H525" s="4"/>
      <c r="I525" s="4"/>
      <c r="J525" s="4"/>
      <c r="K525" s="4"/>
      <c r="L525" s="38"/>
      <c r="M525" s="4"/>
      <c r="N525" s="4"/>
      <c r="O525" s="4"/>
      <c r="P525" s="4"/>
      <c r="Q525" s="4"/>
      <c r="R525" s="4"/>
      <c r="S525" s="4"/>
      <c r="T525" s="4"/>
      <c r="U525" s="4"/>
      <c r="V525" s="4"/>
      <c r="W525" s="4"/>
      <c r="X525" s="4"/>
      <c r="Y525" s="4"/>
      <c r="Z525" s="4"/>
      <c r="AA525" s="4"/>
      <c r="AB525" s="4"/>
    </row>
    <row r="526" spans="1:28" ht="13.5" customHeight="1">
      <c r="A526" s="4"/>
      <c r="B526" s="9"/>
      <c r="C526" s="9"/>
      <c r="D526" s="4"/>
      <c r="E526" s="4"/>
      <c r="F526" s="4"/>
      <c r="G526" s="4"/>
      <c r="H526" s="4"/>
      <c r="I526" s="4"/>
      <c r="J526" s="4"/>
      <c r="K526" s="4"/>
      <c r="L526" s="38"/>
      <c r="M526" s="4"/>
      <c r="N526" s="4"/>
      <c r="O526" s="4"/>
      <c r="P526" s="4"/>
      <c r="Q526" s="4"/>
      <c r="R526" s="4"/>
      <c r="S526" s="4"/>
      <c r="T526" s="4"/>
      <c r="U526" s="4"/>
      <c r="V526" s="4"/>
      <c r="W526" s="4"/>
      <c r="X526" s="4"/>
      <c r="Y526" s="4"/>
      <c r="Z526" s="4"/>
      <c r="AA526" s="4"/>
      <c r="AB526" s="4"/>
    </row>
    <row r="527" spans="1:28" ht="13.5" customHeight="1">
      <c r="A527" s="4"/>
      <c r="B527" s="9"/>
      <c r="C527" s="9"/>
      <c r="D527" s="4"/>
      <c r="E527" s="4"/>
      <c r="F527" s="4"/>
      <c r="G527" s="4"/>
      <c r="H527" s="4"/>
      <c r="I527" s="4"/>
      <c r="J527" s="4"/>
      <c r="K527" s="4"/>
      <c r="L527" s="38"/>
      <c r="M527" s="4"/>
      <c r="N527" s="4"/>
      <c r="O527" s="4"/>
      <c r="P527" s="4"/>
      <c r="Q527" s="4"/>
      <c r="R527" s="4"/>
      <c r="S527" s="4"/>
      <c r="T527" s="4"/>
      <c r="U527" s="4"/>
      <c r="V527" s="4"/>
      <c r="W527" s="4"/>
      <c r="X527" s="4"/>
      <c r="Y527" s="4"/>
      <c r="Z527" s="4"/>
      <c r="AA527" s="4"/>
      <c r="AB527" s="4"/>
    </row>
    <row r="528" spans="1:28" ht="13.5" customHeight="1">
      <c r="A528" s="4"/>
      <c r="B528" s="9"/>
      <c r="C528" s="9"/>
      <c r="D528" s="4"/>
      <c r="E528" s="4"/>
      <c r="F528" s="4"/>
      <c r="G528" s="4"/>
      <c r="H528" s="4"/>
      <c r="I528" s="4"/>
      <c r="J528" s="4"/>
      <c r="K528" s="4"/>
      <c r="L528" s="38"/>
      <c r="M528" s="4"/>
      <c r="N528" s="4"/>
      <c r="O528" s="4"/>
      <c r="P528" s="4"/>
      <c r="Q528" s="4"/>
      <c r="R528" s="4"/>
      <c r="S528" s="4"/>
      <c r="T528" s="4"/>
      <c r="U528" s="4"/>
      <c r="V528" s="4"/>
      <c r="W528" s="4"/>
      <c r="X528" s="4"/>
      <c r="Y528" s="4"/>
      <c r="Z528" s="4"/>
      <c r="AA528" s="4"/>
      <c r="AB528" s="4"/>
    </row>
    <row r="529" spans="1:28" ht="13.5" customHeight="1">
      <c r="A529" s="4"/>
      <c r="B529" s="9"/>
      <c r="C529" s="9"/>
      <c r="D529" s="4"/>
      <c r="E529" s="4"/>
      <c r="F529" s="4"/>
      <c r="G529" s="4"/>
      <c r="H529" s="4"/>
      <c r="I529" s="4"/>
      <c r="J529" s="4"/>
      <c r="K529" s="4"/>
      <c r="L529" s="38"/>
      <c r="M529" s="4"/>
      <c r="N529" s="4"/>
      <c r="O529" s="4"/>
      <c r="P529" s="4"/>
      <c r="Q529" s="4"/>
      <c r="R529" s="4"/>
      <c r="S529" s="4"/>
      <c r="T529" s="4"/>
      <c r="U529" s="4"/>
      <c r="V529" s="4"/>
      <c r="W529" s="4"/>
      <c r="X529" s="4"/>
      <c r="Y529" s="4"/>
      <c r="Z529" s="4"/>
      <c r="AA529" s="4"/>
      <c r="AB529" s="4"/>
    </row>
    <row r="530" spans="1:28" ht="13.5" customHeight="1">
      <c r="A530" s="4"/>
      <c r="B530" s="9"/>
      <c r="C530" s="9"/>
      <c r="D530" s="4"/>
      <c r="E530" s="4"/>
      <c r="F530" s="4"/>
      <c r="G530" s="4"/>
      <c r="H530" s="4"/>
      <c r="I530" s="4"/>
      <c r="J530" s="4"/>
      <c r="K530" s="4"/>
      <c r="L530" s="38"/>
      <c r="M530" s="4"/>
      <c r="N530" s="4"/>
      <c r="O530" s="4"/>
      <c r="P530" s="4"/>
      <c r="Q530" s="4"/>
      <c r="R530" s="4"/>
      <c r="S530" s="4"/>
      <c r="T530" s="4"/>
      <c r="U530" s="4"/>
      <c r="V530" s="4"/>
      <c r="W530" s="4"/>
      <c r="X530" s="4"/>
      <c r="Y530" s="4"/>
      <c r="Z530" s="4"/>
      <c r="AA530" s="4"/>
      <c r="AB530" s="4"/>
    </row>
    <row r="531" spans="1:28" ht="13.5" customHeight="1">
      <c r="A531" s="4"/>
      <c r="B531" s="9"/>
      <c r="C531" s="9"/>
      <c r="D531" s="4"/>
      <c r="E531" s="4"/>
      <c r="F531" s="4"/>
      <c r="G531" s="4"/>
      <c r="H531" s="4"/>
      <c r="I531" s="4"/>
      <c r="J531" s="4"/>
      <c r="K531" s="4"/>
      <c r="L531" s="38"/>
      <c r="M531" s="4"/>
      <c r="N531" s="4"/>
      <c r="O531" s="4"/>
      <c r="P531" s="4"/>
      <c r="Q531" s="4"/>
      <c r="R531" s="4"/>
      <c r="S531" s="4"/>
      <c r="T531" s="4"/>
      <c r="U531" s="4"/>
      <c r="V531" s="4"/>
      <c r="W531" s="4"/>
      <c r="X531" s="4"/>
      <c r="Y531" s="4"/>
      <c r="Z531" s="4"/>
      <c r="AA531" s="4"/>
      <c r="AB531" s="4"/>
    </row>
    <row r="532" spans="1:28" ht="13.5" customHeight="1">
      <c r="A532" s="4"/>
      <c r="B532" s="9"/>
      <c r="C532" s="9"/>
      <c r="D532" s="4"/>
      <c r="E532" s="4"/>
      <c r="F532" s="4"/>
      <c r="G532" s="4"/>
      <c r="H532" s="4"/>
      <c r="I532" s="4"/>
      <c r="J532" s="4"/>
      <c r="K532" s="4"/>
      <c r="L532" s="38"/>
      <c r="M532" s="4"/>
      <c r="N532" s="4"/>
      <c r="O532" s="4"/>
      <c r="P532" s="4"/>
      <c r="Q532" s="4"/>
      <c r="R532" s="4"/>
      <c r="S532" s="4"/>
      <c r="T532" s="4"/>
      <c r="U532" s="4"/>
      <c r="V532" s="4"/>
      <c r="W532" s="4"/>
      <c r="X532" s="4"/>
      <c r="Y532" s="4"/>
      <c r="Z532" s="4"/>
      <c r="AA532" s="4"/>
      <c r="AB532" s="4"/>
    </row>
    <row r="533" spans="1:28" ht="13.5" customHeight="1">
      <c r="A533" s="4"/>
      <c r="B533" s="9"/>
      <c r="C533" s="9"/>
      <c r="D533" s="4"/>
      <c r="E533" s="4"/>
      <c r="F533" s="4"/>
      <c r="G533" s="4"/>
      <c r="H533" s="4"/>
      <c r="I533" s="4"/>
      <c r="J533" s="4"/>
      <c r="K533" s="4"/>
      <c r="L533" s="38"/>
      <c r="M533" s="4"/>
      <c r="N533" s="4"/>
      <c r="O533" s="4"/>
      <c r="P533" s="4"/>
      <c r="Q533" s="4"/>
      <c r="R533" s="4"/>
      <c r="S533" s="4"/>
      <c r="T533" s="4"/>
      <c r="U533" s="4"/>
      <c r="V533" s="4"/>
      <c r="W533" s="4"/>
      <c r="X533" s="4"/>
      <c r="Y533" s="4"/>
      <c r="Z533" s="4"/>
      <c r="AA533" s="4"/>
      <c r="AB533" s="4"/>
    </row>
    <row r="534" spans="1:28" ht="13.5" customHeight="1">
      <c r="A534" s="4"/>
      <c r="B534" s="9"/>
      <c r="C534" s="9"/>
      <c r="D534" s="4"/>
      <c r="E534" s="4"/>
      <c r="F534" s="4"/>
      <c r="G534" s="4"/>
      <c r="H534" s="4"/>
      <c r="I534" s="4"/>
      <c r="J534" s="4"/>
      <c r="K534" s="4"/>
      <c r="L534" s="38"/>
      <c r="M534" s="4"/>
      <c r="N534" s="4"/>
      <c r="O534" s="4"/>
      <c r="P534" s="4"/>
      <c r="Q534" s="4"/>
      <c r="R534" s="4"/>
      <c r="S534" s="4"/>
      <c r="T534" s="4"/>
      <c r="U534" s="4"/>
      <c r="V534" s="4"/>
      <c r="W534" s="4"/>
      <c r="X534" s="4"/>
      <c r="Y534" s="4"/>
      <c r="Z534" s="4"/>
      <c r="AA534" s="4"/>
      <c r="AB534" s="4"/>
    </row>
    <row r="535" spans="1:28" ht="13.5" customHeight="1">
      <c r="A535" s="4"/>
      <c r="B535" s="9"/>
      <c r="C535" s="9"/>
      <c r="D535" s="4"/>
      <c r="E535" s="4"/>
      <c r="F535" s="4"/>
      <c r="G535" s="4"/>
      <c r="H535" s="4"/>
      <c r="I535" s="4"/>
      <c r="J535" s="4"/>
      <c r="K535" s="4"/>
      <c r="L535" s="38"/>
      <c r="M535" s="4"/>
      <c r="N535" s="4"/>
      <c r="O535" s="4"/>
      <c r="P535" s="4"/>
      <c r="Q535" s="4"/>
      <c r="R535" s="4"/>
      <c r="S535" s="4"/>
      <c r="T535" s="4"/>
      <c r="U535" s="4"/>
      <c r="V535" s="4"/>
      <c r="W535" s="4"/>
      <c r="X535" s="4"/>
      <c r="Y535" s="4"/>
      <c r="Z535" s="4"/>
      <c r="AA535" s="4"/>
      <c r="AB535" s="4"/>
    </row>
    <row r="536" spans="1:28" ht="13.5" customHeight="1">
      <c r="A536" s="4"/>
      <c r="B536" s="9"/>
      <c r="C536" s="9"/>
      <c r="D536" s="4"/>
      <c r="E536" s="4"/>
      <c r="F536" s="4"/>
      <c r="G536" s="4"/>
      <c r="H536" s="4"/>
      <c r="I536" s="4"/>
      <c r="J536" s="4"/>
      <c r="K536" s="4"/>
      <c r="L536" s="38"/>
      <c r="M536" s="4"/>
      <c r="N536" s="4"/>
      <c r="O536" s="4"/>
      <c r="P536" s="4"/>
      <c r="Q536" s="4"/>
      <c r="R536" s="4"/>
      <c r="S536" s="4"/>
      <c r="T536" s="4"/>
      <c r="U536" s="4"/>
      <c r="V536" s="4"/>
      <c r="W536" s="4"/>
      <c r="X536" s="4"/>
      <c r="Y536" s="4"/>
      <c r="Z536" s="4"/>
      <c r="AA536" s="4"/>
      <c r="AB536" s="4"/>
    </row>
    <row r="537" spans="1:28" ht="13.5" customHeight="1">
      <c r="A537" s="4"/>
      <c r="B537" s="9"/>
      <c r="C537" s="9"/>
      <c r="D537" s="4"/>
      <c r="E537" s="4"/>
      <c r="F537" s="4"/>
      <c r="G537" s="4"/>
      <c r="H537" s="4"/>
      <c r="I537" s="4"/>
      <c r="J537" s="4"/>
      <c r="K537" s="4"/>
      <c r="L537" s="38"/>
      <c r="M537" s="4"/>
      <c r="N537" s="4"/>
      <c r="O537" s="4"/>
      <c r="P537" s="4"/>
      <c r="Q537" s="4"/>
      <c r="R537" s="4"/>
      <c r="S537" s="4"/>
      <c r="T537" s="4"/>
      <c r="U537" s="4"/>
      <c r="V537" s="4"/>
      <c r="W537" s="4"/>
      <c r="X537" s="4"/>
      <c r="Y537" s="4"/>
      <c r="Z537" s="4"/>
      <c r="AA537" s="4"/>
      <c r="AB537" s="4"/>
    </row>
    <row r="538" spans="1:28" ht="13.5" customHeight="1">
      <c r="A538" s="4"/>
      <c r="B538" s="9"/>
      <c r="C538" s="9"/>
      <c r="D538" s="4"/>
      <c r="E538" s="4"/>
      <c r="F538" s="4"/>
      <c r="G538" s="4"/>
      <c r="H538" s="4"/>
      <c r="I538" s="4"/>
      <c r="J538" s="4"/>
      <c r="K538" s="4"/>
      <c r="L538" s="38"/>
      <c r="M538" s="4"/>
      <c r="N538" s="4"/>
      <c r="O538" s="4"/>
      <c r="P538" s="4"/>
      <c r="Q538" s="4"/>
      <c r="R538" s="4"/>
      <c r="S538" s="4"/>
      <c r="T538" s="4"/>
      <c r="U538" s="4"/>
      <c r="V538" s="4"/>
      <c r="W538" s="4"/>
      <c r="X538" s="4"/>
      <c r="Y538" s="4"/>
      <c r="Z538" s="4"/>
      <c r="AA538" s="4"/>
      <c r="AB538" s="4"/>
    </row>
    <row r="539" spans="1:28" ht="13.5" customHeight="1">
      <c r="A539" s="4"/>
      <c r="B539" s="9"/>
      <c r="C539" s="9"/>
      <c r="D539" s="4"/>
      <c r="E539" s="4"/>
      <c r="F539" s="4"/>
      <c r="G539" s="4"/>
      <c r="H539" s="4"/>
      <c r="I539" s="4"/>
      <c r="J539" s="4"/>
      <c r="K539" s="4"/>
      <c r="L539" s="38"/>
      <c r="M539" s="4"/>
      <c r="N539" s="4"/>
      <c r="O539" s="4"/>
      <c r="P539" s="4"/>
      <c r="Q539" s="4"/>
      <c r="R539" s="4"/>
      <c r="S539" s="4"/>
      <c r="T539" s="4"/>
      <c r="U539" s="4"/>
      <c r="V539" s="4"/>
      <c r="W539" s="4"/>
      <c r="X539" s="4"/>
      <c r="Y539" s="4"/>
      <c r="Z539" s="4"/>
      <c r="AA539" s="4"/>
      <c r="AB539" s="4"/>
    </row>
    <row r="540" spans="1:28" ht="13.5" customHeight="1">
      <c r="A540" s="4"/>
      <c r="B540" s="9"/>
      <c r="C540" s="9"/>
      <c r="D540" s="4"/>
      <c r="E540" s="4"/>
      <c r="F540" s="4"/>
      <c r="G540" s="4"/>
      <c r="H540" s="4"/>
      <c r="I540" s="4"/>
      <c r="J540" s="4"/>
      <c r="K540" s="4"/>
      <c r="L540" s="38"/>
      <c r="M540" s="4"/>
      <c r="N540" s="4"/>
      <c r="O540" s="4"/>
      <c r="P540" s="4"/>
      <c r="Q540" s="4"/>
      <c r="R540" s="4"/>
      <c r="S540" s="4"/>
      <c r="T540" s="4"/>
      <c r="U540" s="4"/>
      <c r="V540" s="4"/>
      <c r="W540" s="4"/>
      <c r="X540" s="4"/>
      <c r="Y540" s="4"/>
      <c r="Z540" s="4"/>
      <c r="AA540" s="4"/>
      <c r="AB540" s="4"/>
    </row>
    <row r="541" spans="1:28" ht="13.5" customHeight="1">
      <c r="A541" s="4"/>
      <c r="B541" s="9"/>
      <c r="C541" s="9"/>
      <c r="D541" s="4"/>
      <c r="E541" s="4"/>
      <c r="F541" s="4"/>
      <c r="G541" s="4"/>
      <c r="H541" s="4"/>
      <c r="I541" s="4"/>
      <c r="J541" s="4"/>
      <c r="K541" s="4"/>
      <c r="L541" s="38"/>
      <c r="M541" s="4"/>
      <c r="N541" s="4"/>
      <c r="O541" s="4"/>
      <c r="P541" s="4"/>
      <c r="Q541" s="4"/>
      <c r="R541" s="4"/>
      <c r="S541" s="4"/>
      <c r="T541" s="4"/>
      <c r="U541" s="4"/>
      <c r="V541" s="4"/>
      <c r="W541" s="4"/>
      <c r="X541" s="4"/>
      <c r="Y541" s="4"/>
      <c r="Z541" s="4"/>
      <c r="AA541" s="4"/>
      <c r="AB541" s="4"/>
    </row>
    <row r="542" spans="1:28" ht="13.5" customHeight="1">
      <c r="A542" s="4"/>
      <c r="B542" s="9"/>
      <c r="C542" s="9"/>
      <c r="D542" s="4"/>
      <c r="E542" s="4"/>
      <c r="F542" s="4"/>
      <c r="G542" s="4"/>
      <c r="H542" s="4"/>
      <c r="I542" s="4"/>
      <c r="J542" s="4"/>
      <c r="K542" s="4"/>
      <c r="L542" s="38"/>
      <c r="M542" s="4"/>
      <c r="N542" s="4"/>
      <c r="O542" s="4"/>
      <c r="P542" s="4"/>
      <c r="Q542" s="4"/>
      <c r="R542" s="4"/>
      <c r="S542" s="4"/>
      <c r="T542" s="4"/>
      <c r="U542" s="4"/>
      <c r="V542" s="4"/>
      <c r="W542" s="4"/>
      <c r="X542" s="4"/>
      <c r="Y542" s="4"/>
      <c r="Z542" s="4"/>
      <c r="AA542" s="4"/>
      <c r="AB542" s="4"/>
    </row>
    <row r="543" spans="1:28" ht="13.5" customHeight="1">
      <c r="A543" s="4"/>
      <c r="B543" s="9"/>
      <c r="C543" s="9"/>
      <c r="D543" s="4"/>
      <c r="E543" s="4"/>
      <c r="F543" s="4"/>
      <c r="G543" s="4"/>
      <c r="H543" s="4"/>
      <c r="I543" s="4"/>
      <c r="J543" s="4"/>
      <c r="K543" s="4"/>
      <c r="L543" s="38"/>
      <c r="M543" s="4"/>
      <c r="N543" s="4"/>
      <c r="O543" s="4"/>
      <c r="P543" s="4"/>
      <c r="Q543" s="4"/>
      <c r="R543" s="4"/>
      <c r="S543" s="4"/>
      <c r="T543" s="4"/>
      <c r="U543" s="4"/>
      <c r="V543" s="4"/>
      <c r="W543" s="4"/>
      <c r="X543" s="4"/>
      <c r="Y543" s="4"/>
      <c r="Z543" s="4"/>
      <c r="AA543" s="4"/>
      <c r="AB543" s="4"/>
    </row>
    <row r="544" spans="1:28" ht="13.5" customHeight="1">
      <c r="A544" s="4"/>
      <c r="B544" s="9"/>
      <c r="C544" s="9"/>
      <c r="D544" s="4"/>
      <c r="E544" s="4"/>
      <c r="F544" s="4"/>
      <c r="G544" s="4"/>
      <c r="H544" s="4"/>
      <c r="I544" s="4"/>
      <c r="J544" s="4"/>
      <c r="K544" s="4"/>
      <c r="L544" s="38"/>
      <c r="M544" s="4"/>
      <c r="N544" s="4"/>
      <c r="O544" s="4"/>
      <c r="P544" s="4"/>
      <c r="Q544" s="4"/>
      <c r="R544" s="4"/>
      <c r="S544" s="4"/>
      <c r="T544" s="4"/>
      <c r="U544" s="4"/>
      <c r="V544" s="4"/>
      <c r="W544" s="4"/>
      <c r="X544" s="4"/>
      <c r="Y544" s="4"/>
      <c r="Z544" s="4"/>
      <c r="AA544" s="4"/>
      <c r="AB544" s="4"/>
    </row>
    <row r="545" spans="1:28" ht="13.5" customHeight="1">
      <c r="A545" s="4"/>
      <c r="B545" s="9"/>
      <c r="C545" s="9"/>
      <c r="D545" s="4"/>
      <c r="E545" s="4"/>
      <c r="F545" s="4"/>
      <c r="G545" s="4"/>
      <c r="H545" s="4"/>
      <c r="I545" s="4"/>
      <c r="J545" s="4"/>
      <c r="K545" s="4"/>
      <c r="L545" s="38"/>
      <c r="M545" s="4"/>
      <c r="N545" s="4"/>
      <c r="O545" s="4"/>
      <c r="P545" s="4"/>
      <c r="Q545" s="4"/>
      <c r="R545" s="4"/>
      <c r="S545" s="4"/>
      <c r="T545" s="4"/>
      <c r="U545" s="4"/>
      <c r="V545" s="4"/>
      <c r="W545" s="4"/>
      <c r="X545" s="4"/>
      <c r="Y545" s="4"/>
      <c r="Z545" s="4"/>
      <c r="AA545" s="4"/>
      <c r="AB545" s="4"/>
    </row>
    <row r="546" spans="1:28" ht="13.5" customHeight="1">
      <c r="A546" s="4"/>
      <c r="B546" s="9"/>
      <c r="C546" s="9"/>
      <c r="D546" s="4"/>
      <c r="E546" s="4"/>
      <c r="F546" s="4"/>
      <c r="G546" s="4"/>
      <c r="H546" s="4"/>
      <c r="I546" s="4"/>
      <c r="J546" s="4"/>
      <c r="K546" s="4"/>
      <c r="L546" s="38"/>
      <c r="M546" s="4"/>
      <c r="N546" s="4"/>
      <c r="O546" s="4"/>
      <c r="P546" s="4"/>
      <c r="Q546" s="4"/>
      <c r="R546" s="4"/>
      <c r="S546" s="4"/>
      <c r="T546" s="4"/>
      <c r="U546" s="4"/>
      <c r="V546" s="4"/>
      <c r="W546" s="4"/>
      <c r="X546" s="4"/>
      <c r="Y546" s="4"/>
      <c r="Z546" s="4"/>
      <c r="AA546" s="4"/>
      <c r="AB546" s="4"/>
    </row>
    <row r="547" spans="1:28" ht="13.5" customHeight="1">
      <c r="A547" s="4"/>
      <c r="B547" s="9"/>
      <c r="C547" s="9"/>
      <c r="D547" s="4"/>
      <c r="E547" s="4"/>
      <c r="F547" s="4"/>
      <c r="G547" s="4"/>
      <c r="H547" s="4"/>
      <c r="I547" s="4"/>
      <c r="J547" s="4"/>
      <c r="K547" s="4"/>
      <c r="L547" s="38"/>
      <c r="M547" s="4"/>
      <c r="N547" s="4"/>
      <c r="O547" s="4"/>
      <c r="P547" s="4"/>
      <c r="Q547" s="4"/>
      <c r="R547" s="4"/>
      <c r="S547" s="4"/>
      <c r="T547" s="4"/>
      <c r="U547" s="4"/>
      <c r="V547" s="4"/>
      <c r="W547" s="4"/>
      <c r="X547" s="4"/>
      <c r="Y547" s="4"/>
      <c r="Z547" s="4"/>
      <c r="AA547" s="4"/>
      <c r="AB547" s="4"/>
    </row>
    <row r="548" spans="1:28" ht="13.5" customHeight="1">
      <c r="A548" s="4"/>
      <c r="B548" s="9"/>
      <c r="C548" s="9"/>
      <c r="D548" s="4"/>
      <c r="E548" s="4"/>
      <c r="F548" s="4"/>
      <c r="G548" s="4"/>
      <c r="H548" s="4"/>
      <c r="I548" s="4"/>
      <c r="J548" s="4"/>
      <c r="K548" s="4"/>
      <c r="L548" s="38"/>
      <c r="M548" s="4"/>
      <c r="N548" s="4"/>
      <c r="O548" s="4"/>
      <c r="P548" s="4"/>
      <c r="Q548" s="4"/>
      <c r="R548" s="4"/>
      <c r="S548" s="4"/>
      <c r="T548" s="4"/>
      <c r="U548" s="4"/>
      <c r="V548" s="4"/>
      <c r="W548" s="4"/>
      <c r="X548" s="4"/>
      <c r="Y548" s="4"/>
      <c r="Z548" s="4"/>
      <c r="AA548" s="4"/>
      <c r="AB548" s="4"/>
    </row>
    <row r="549" spans="1:28" ht="13.5" customHeight="1">
      <c r="A549" s="4"/>
      <c r="B549" s="9"/>
      <c r="C549" s="9"/>
      <c r="D549" s="4"/>
      <c r="E549" s="4"/>
      <c r="F549" s="4"/>
      <c r="G549" s="4"/>
      <c r="H549" s="4"/>
      <c r="I549" s="4"/>
      <c r="J549" s="4"/>
      <c r="K549" s="4"/>
      <c r="L549" s="38"/>
      <c r="M549" s="4"/>
      <c r="N549" s="4"/>
      <c r="O549" s="4"/>
      <c r="P549" s="4"/>
      <c r="Q549" s="4"/>
      <c r="R549" s="4"/>
      <c r="S549" s="4"/>
      <c r="T549" s="4"/>
      <c r="U549" s="4"/>
      <c r="V549" s="4"/>
      <c r="W549" s="4"/>
      <c r="X549" s="4"/>
      <c r="Y549" s="4"/>
      <c r="Z549" s="4"/>
      <c r="AA549" s="4"/>
      <c r="AB549" s="4"/>
    </row>
    <row r="550" spans="1:28" ht="13.5" customHeight="1">
      <c r="A550" s="4"/>
      <c r="B550" s="9"/>
      <c r="C550" s="9"/>
      <c r="D550" s="4"/>
      <c r="E550" s="4"/>
      <c r="F550" s="4"/>
      <c r="G550" s="4"/>
      <c r="H550" s="4"/>
      <c r="I550" s="4"/>
      <c r="J550" s="4"/>
      <c r="K550" s="4"/>
      <c r="L550" s="38"/>
      <c r="M550" s="4"/>
      <c r="N550" s="4"/>
      <c r="O550" s="4"/>
      <c r="P550" s="4"/>
      <c r="Q550" s="4"/>
      <c r="R550" s="4"/>
      <c r="S550" s="4"/>
      <c r="T550" s="4"/>
      <c r="U550" s="4"/>
      <c r="V550" s="4"/>
      <c r="W550" s="4"/>
      <c r="X550" s="4"/>
      <c r="Y550" s="4"/>
      <c r="Z550" s="4"/>
      <c r="AA550" s="4"/>
      <c r="AB550" s="4"/>
    </row>
    <row r="551" spans="1:28" ht="13.5" customHeight="1">
      <c r="A551" s="4"/>
      <c r="B551" s="9"/>
      <c r="C551" s="9"/>
      <c r="D551" s="4"/>
      <c r="E551" s="4"/>
      <c r="F551" s="4"/>
      <c r="G551" s="4"/>
      <c r="H551" s="4"/>
      <c r="I551" s="4"/>
      <c r="J551" s="4"/>
      <c r="K551" s="4"/>
      <c r="L551" s="38"/>
      <c r="M551" s="4"/>
      <c r="N551" s="4"/>
      <c r="O551" s="4"/>
      <c r="P551" s="4"/>
      <c r="Q551" s="4"/>
      <c r="R551" s="4"/>
      <c r="S551" s="4"/>
      <c r="T551" s="4"/>
      <c r="U551" s="4"/>
      <c r="V551" s="4"/>
      <c r="W551" s="4"/>
      <c r="X551" s="4"/>
      <c r="Y551" s="4"/>
      <c r="Z551" s="4"/>
      <c r="AA551" s="4"/>
      <c r="AB551" s="4"/>
    </row>
    <row r="552" spans="1:28" ht="13.5" customHeight="1">
      <c r="A552" s="4"/>
      <c r="B552" s="9"/>
      <c r="C552" s="9"/>
      <c r="D552" s="4"/>
      <c r="E552" s="4"/>
      <c r="F552" s="4"/>
      <c r="G552" s="4"/>
      <c r="H552" s="4"/>
      <c r="I552" s="4"/>
      <c r="J552" s="4"/>
      <c r="K552" s="4"/>
      <c r="L552" s="38"/>
      <c r="M552" s="4"/>
      <c r="N552" s="4"/>
      <c r="O552" s="4"/>
      <c r="P552" s="4"/>
      <c r="Q552" s="4"/>
      <c r="R552" s="4"/>
      <c r="S552" s="4"/>
      <c r="T552" s="4"/>
      <c r="U552" s="4"/>
      <c r="V552" s="4"/>
      <c r="W552" s="4"/>
      <c r="X552" s="4"/>
      <c r="Y552" s="4"/>
      <c r="Z552" s="4"/>
      <c r="AA552" s="4"/>
      <c r="AB552" s="4"/>
    </row>
    <row r="553" spans="1:28" ht="13.5" customHeight="1">
      <c r="A553" s="4"/>
      <c r="B553" s="9"/>
      <c r="C553" s="9"/>
      <c r="D553" s="4"/>
      <c r="E553" s="4"/>
      <c r="F553" s="4"/>
      <c r="G553" s="4"/>
      <c r="H553" s="4"/>
      <c r="I553" s="4"/>
      <c r="J553" s="4"/>
      <c r="K553" s="4"/>
      <c r="L553" s="38"/>
      <c r="M553" s="4"/>
      <c r="N553" s="4"/>
      <c r="O553" s="4"/>
      <c r="P553" s="4"/>
      <c r="Q553" s="4"/>
      <c r="R553" s="4"/>
      <c r="S553" s="4"/>
      <c r="T553" s="4"/>
      <c r="U553" s="4"/>
      <c r="V553" s="4"/>
      <c r="W553" s="4"/>
      <c r="X553" s="4"/>
      <c r="Y553" s="4"/>
      <c r="Z553" s="4"/>
      <c r="AA553" s="4"/>
      <c r="AB553" s="4"/>
    </row>
    <row r="554" spans="1:28" ht="13.5" customHeight="1">
      <c r="A554" s="4"/>
      <c r="B554" s="9"/>
      <c r="C554" s="9"/>
      <c r="D554" s="4"/>
      <c r="E554" s="4"/>
      <c r="F554" s="4"/>
      <c r="G554" s="4"/>
      <c r="H554" s="4"/>
      <c r="I554" s="4"/>
      <c r="J554" s="4"/>
      <c r="K554" s="4"/>
      <c r="L554" s="38"/>
      <c r="M554" s="4"/>
      <c r="N554" s="4"/>
      <c r="O554" s="4"/>
      <c r="P554" s="4"/>
      <c r="Q554" s="4"/>
      <c r="R554" s="4"/>
      <c r="S554" s="4"/>
      <c r="T554" s="4"/>
      <c r="U554" s="4"/>
      <c r="V554" s="4"/>
      <c r="W554" s="4"/>
      <c r="X554" s="4"/>
      <c r="Y554" s="4"/>
      <c r="Z554" s="4"/>
      <c r="AA554" s="4"/>
      <c r="AB554" s="4"/>
    </row>
    <row r="555" spans="1:28" ht="13.5" customHeight="1">
      <c r="A555" s="4"/>
      <c r="B555" s="9"/>
      <c r="C555" s="9"/>
      <c r="D555" s="4"/>
      <c r="E555" s="4"/>
      <c r="F555" s="4"/>
      <c r="G555" s="4"/>
      <c r="H555" s="4"/>
      <c r="I555" s="4"/>
      <c r="J555" s="4"/>
      <c r="K555" s="4"/>
      <c r="L555" s="38"/>
      <c r="M555" s="4"/>
      <c r="N555" s="4"/>
      <c r="O555" s="4"/>
      <c r="P555" s="4"/>
      <c r="Q555" s="4"/>
      <c r="R555" s="4"/>
      <c r="S555" s="4"/>
      <c r="T555" s="4"/>
      <c r="U555" s="4"/>
      <c r="V555" s="4"/>
      <c r="W555" s="4"/>
      <c r="X555" s="4"/>
      <c r="Y555" s="4"/>
      <c r="Z555" s="4"/>
      <c r="AA555" s="4"/>
      <c r="AB555" s="4"/>
    </row>
    <row r="556" spans="1:28" ht="13.5" customHeight="1">
      <c r="A556" s="4"/>
      <c r="B556" s="9"/>
      <c r="C556" s="9"/>
      <c r="D556" s="4"/>
      <c r="E556" s="4"/>
      <c r="F556" s="4"/>
      <c r="G556" s="4"/>
      <c r="H556" s="4"/>
      <c r="I556" s="4"/>
      <c r="J556" s="4"/>
      <c r="K556" s="4"/>
      <c r="L556" s="38"/>
      <c r="M556" s="4"/>
      <c r="N556" s="4"/>
      <c r="O556" s="4"/>
      <c r="P556" s="4"/>
      <c r="Q556" s="4"/>
      <c r="R556" s="4"/>
      <c r="S556" s="4"/>
      <c r="T556" s="4"/>
      <c r="U556" s="4"/>
      <c r="V556" s="4"/>
      <c r="W556" s="4"/>
      <c r="X556" s="4"/>
      <c r="Y556" s="4"/>
      <c r="Z556" s="4"/>
      <c r="AA556" s="4"/>
      <c r="AB556" s="4"/>
    </row>
    <row r="557" spans="1:28" ht="13.5" customHeight="1">
      <c r="A557" s="4"/>
      <c r="B557" s="9"/>
      <c r="C557" s="9"/>
      <c r="D557" s="4"/>
      <c r="E557" s="4"/>
      <c r="F557" s="4"/>
      <c r="G557" s="4"/>
      <c r="H557" s="4"/>
      <c r="I557" s="4"/>
      <c r="J557" s="4"/>
      <c r="K557" s="4"/>
      <c r="L557" s="38"/>
      <c r="M557" s="4"/>
      <c r="N557" s="4"/>
      <c r="O557" s="4"/>
      <c r="P557" s="4"/>
      <c r="Q557" s="4"/>
      <c r="R557" s="4"/>
      <c r="S557" s="4"/>
      <c r="T557" s="4"/>
      <c r="U557" s="4"/>
      <c r="V557" s="4"/>
      <c r="W557" s="4"/>
      <c r="X557" s="4"/>
      <c r="Y557" s="4"/>
      <c r="Z557" s="4"/>
      <c r="AA557" s="4"/>
      <c r="AB557" s="4"/>
    </row>
    <row r="558" spans="1:28" ht="13.5" customHeight="1">
      <c r="A558" s="4"/>
      <c r="B558" s="9"/>
      <c r="C558" s="9"/>
      <c r="D558" s="4"/>
      <c r="E558" s="4"/>
      <c r="F558" s="4"/>
      <c r="G558" s="4"/>
      <c r="H558" s="4"/>
      <c r="I558" s="4"/>
      <c r="J558" s="4"/>
      <c r="K558" s="4"/>
      <c r="L558" s="38"/>
      <c r="M558" s="4"/>
      <c r="N558" s="4"/>
      <c r="O558" s="4"/>
      <c r="P558" s="4"/>
      <c r="Q558" s="4"/>
      <c r="R558" s="4"/>
      <c r="S558" s="4"/>
      <c r="T558" s="4"/>
      <c r="U558" s="4"/>
      <c r="V558" s="4"/>
      <c r="W558" s="4"/>
      <c r="X558" s="4"/>
      <c r="Y558" s="4"/>
      <c r="Z558" s="4"/>
      <c r="AA558" s="4"/>
      <c r="AB558" s="4"/>
    </row>
    <row r="559" spans="1:28" ht="13.5" customHeight="1">
      <c r="A559" s="4"/>
      <c r="B559" s="9"/>
      <c r="C559" s="9"/>
      <c r="D559" s="4"/>
      <c r="E559" s="4"/>
      <c r="F559" s="4"/>
      <c r="G559" s="4"/>
      <c r="H559" s="4"/>
      <c r="I559" s="4"/>
      <c r="J559" s="4"/>
      <c r="K559" s="4"/>
      <c r="L559" s="38"/>
      <c r="M559" s="4"/>
      <c r="N559" s="4"/>
      <c r="O559" s="4"/>
      <c r="P559" s="4"/>
      <c r="Q559" s="4"/>
      <c r="R559" s="4"/>
      <c r="S559" s="4"/>
      <c r="T559" s="4"/>
      <c r="U559" s="4"/>
      <c r="V559" s="4"/>
      <c r="W559" s="4"/>
      <c r="X559" s="4"/>
      <c r="Y559" s="4"/>
      <c r="Z559" s="4"/>
      <c r="AA559" s="4"/>
      <c r="AB559" s="4"/>
    </row>
    <row r="560" spans="1:28" ht="13.5" customHeight="1">
      <c r="A560" s="4"/>
      <c r="B560" s="9"/>
      <c r="C560" s="9"/>
      <c r="D560" s="4"/>
      <c r="E560" s="4"/>
      <c r="F560" s="4"/>
      <c r="G560" s="4"/>
      <c r="H560" s="4"/>
      <c r="I560" s="4"/>
      <c r="J560" s="4"/>
      <c r="K560" s="4"/>
      <c r="L560" s="38"/>
      <c r="M560" s="4"/>
      <c r="N560" s="4"/>
      <c r="O560" s="4"/>
      <c r="P560" s="4"/>
      <c r="Q560" s="4"/>
      <c r="R560" s="4"/>
      <c r="S560" s="4"/>
      <c r="T560" s="4"/>
      <c r="U560" s="4"/>
      <c r="V560" s="4"/>
      <c r="W560" s="4"/>
      <c r="X560" s="4"/>
      <c r="Y560" s="4"/>
      <c r="Z560" s="4"/>
      <c r="AA560" s="4"/>
      <c r="AB560" s="4"/>
    </row>
    <row r="561" spans="1:28" ht="13.5" customHeight="1">
      <c r="A561" s="4"/>
      <c r="B561" s="9"/>
      <c r="C561" s="9"/>
      <c r="D561" s="4"/>
      <c r="E561" s="4"/>
      <c r="F561" s="4"/>
      <c r="G561" s="4"/>
      <c r="H561" s="4"/>
      <c r="I561" s="4"/>
      <c r="J561" s="4"/>
      <c r="K561" s="4"/>
      <c r="L561" s="38"/>
      <c r="M561" s="4"/>
      <c r="N561" s="4"/>
      <c r="O561" s="4"/>
      <c r="P561" s="4"/>
      <c r="Q561" s="4"/>
      <c r="R561" s="4"/>
      <c r="S561" s="4"/>
      <c r="T561" s="4"/>
      <c r="U561" s="4"/>
      <c r="V561" s="4"/>
      <c r="W561" s="4"/>
      <c r="X561" s="4"/>
      <c r="Y561" s="4"/>
      <c r="Z561" s="4"/>
      <c r="AA561" s="4"/>
      <c r="AB561" s="4"/>
    </row>
    <row r="562" spans="1:28" ht="13.5" customHeight="1">
      <c r="A562" s="4"/>
      <c r="B562" s="9"/>
      <c r="C562" s="9"/>
      <c r="D562" s="4"/>
      <c r="E562" s="4"/>
      <c r="F562" s="4"/>
      <c r="G562" s="4"/>
      <c r="H562" s="4"/>
      <c r="I562" s="4"/>
      <c r="J562" s="4"/>
      <c r="K562" s="4"/>
      <c r="L562" s="38"/>
      <c r="M562" s="4"/>
      <c r="N562" s="4"/>
      <c r="O562" s="4"/>
      <c r="P562" s="4"/>
      <c r="Q562" s="4"/>
      <c r="R562" s="4"/>
      <c r="S562" s="4"/>
      <c r="T562" s="4"/>
      <c r="U562" s="4"/>
      <c r="V562" s="4"/>
      <c r="W562" s="4"/>
      <c r="X562" s="4"/>
      <c r="Y562" s="4"/>
      <c r="Z562" s="4"/>
      <c r="AA562" s="4"/>
      <c r="AB562" s="4"/>
    </row>
    <row r="563" spans="1:28" ht="13.5" customHeight="1">
      <c r="A563" s="4"/>
      <c r="B563" s="9"/>
      <c r="C563" s="9"/>
      <c r="D563" s="4"/>
      <c r="E563" s="4"/>
      <c r="F563" s="4"/>
      <c r="G563" s="4"/>
      <c r="H563" s="4"/>
      <c r="I563" s="4"/>
      <c r="J563" s="4"/>
      <c r="K563" s="4"/>
      <c r="L563" s="38"/>
      <c r="M563" s="4"/>
      <c r="N563" s="4"/>
      <c r="O563" s="4"/>
      <c r="P563" s="4"/>
      <c r="Q563" s="4"/>
      <c r="R563" s="4"/>
      <c r="S563" s="4"/>
      <c r="T563" s="4"/>
      <c r="U563" s="4"/>
      <c r="V563" s="4"/>
      <c r="W563" s="4"/>
      <c r="X563" s="4"/>
      <c r="Y563" s="4"/>
      <c r="Z563" s="4"/>
      <c r="AA563" s="4"/>
      <c r="AB563" s="4"/>
    </row>
    <row r="564" spans="1:28" ht="13.5" customHeight="1">
      <c r="A564" s="4"/>
      <c r="B564" s="9"/>
      <c r="C564" s="9"/>
      <c r="D564" s="4"/>
      <c r="E564" s="4"/>
      <c r="F564" s="4"/>
      <c r="G564" s="4"/>
      <c r="H564" s="4"/>
      <c r="I564" s="4"/>
      <c r="J564" s="4"/>
      <c r="K564" s="4"/>
      <c r="L564" s="38"/>
      <c r="M564" s="4"/>
      <c r="N564" s="4"/>
      <c r="O564" s="4"/>
      <c r="P564" s="4"/>
      <c r="Q564" s="4"/>
      <c r="R564" s="4"/>
      <c r="S564" s="4"/>
      <c r="T564" s="4"/>
      <c r="U564" s="4"/>
      <c r="V564" s="4"/>
      <c r="W564" s="4"/>
      <c r="X564" s="4"/>
      <c r="Y564" s="4"/>
      <c r="Z564" s="4"/>
      <c r="AA564" s="4"/>
      <c r="AB564" s="4"/>
    </row>
    <row r="565" spans="1:28" ht="13.5" customHeight="1">
      <c r="A565" s="4"/>
      <c r="B565" s="9"/>
      <c r="C565" s="9"/>
      <c r="D565" s="4"/>
      <c r="E565" s="4"/>
      <c r="F565" s="4"/>
      <c r="G565" s="4"/>
      <c r="H565" s="4"/>
      <c r="I565" s="4"/>
      <c r="J565" s="4"/>
      <c r="K565" s="4"/>
      <c r="L565" s="38"/>
      <c r="M565" s="4"/>
      <c r="N565" s="4"/>
      <c r="O565" s="4"/>
      <c r="P565" s="4"/>
      <c r="Q565" s="4"/>
      <c r="R565" s="4"/>
      <c r="S565" s="4"/>
      <c r="T565" s="4"/>
      <c r="U565" s="4"/>
      <c r="V565" s="4"/>
      <c r="W565" s="4"/>
      <c r="X565" s="4"/>
      <c r="Y565" s="4"/>
      <c r="Z565" s="4"/>
      <c r="AA565" s="4"/>
      <c r="AB565" s="4"/>
    </row>
    <row r="566" spans="1:28" ht="13.5" customHeight="1">
      <c r="A566" s="4"/>
      <c r="B566" s="9"/>
      <c r="C566" s="9"/>
      <c r="D566" s="4"/>
      <c r="E566" s="4"/>
      <c r="F566" s="4"/>
      <c r="G566" s="4"/>
      <c r="H566" s="4"/>
      <c r="I566" s="4"/>
      <c r="J566" s="4"/>
      <c r="K566" s="4"/>
      <c r="L566" s="38"/>
      <c r="M566" s="4"/>
      <c r="N566" s="4"/>
      <c r="O566" s="4"/>
      <c r="P566" s="4"/>
      <c r="Q566" s="4"/>
      <c r="R566" s="4"/>
      <c r="S566" s="4"/>
      <c r="T566" s="4"/>
      <c r="U566" s="4"/>
      <c r="V566" s="4"/>
      <c r="W566" s="4"/>
      <c r="X566" s="4"/>
      <c r="Y566" s="4"/>
      <c r="Z566" s="4"/>
      <c r="AA566" s="4"/>
      <c r="AB566" s="4"/>
    </row>
    <row r="567" spans="1:28" ht="13.5" customHeight="1">
      <c r="A567" s="4"/>
      <c r="B567" s="9"/>
      <c r="C567" s="9"/>
      <c r="D567" s="4"/>
      <c r="E567" s="4"/>
      <c r="F567" s="4"/>
      <c r="G567" s="4"/>
      <c r="H567" s="4"/>
      <c r="I567" s="4"/>
      <c r="J567" s="4"/>
      <c r="K567" s="4"/>
      <c r="L567" s="38"/>
      <c r="M567" s="4"/>
      <c r="N567" s="4"/>
      <c r="O567" s="4"/>
      <c r="P567" s="4"/>
      <c r="Q567" s="4"/>
      <c r="R567" s="4"/>
      <c r="S567" s="4"/>
      <c r="T567" s="4"/>
      <c r="U567" s="4"/>
      <c r="V567" s="4"/>
      <c r="W567" s="4"/>
      <c r="X567" s="4"/>
      <c r="Y567" s="4"/>
      <c r="Z567" s="4"/>
      <c r="AA567" s="4"/>
      <c r="AB567" s="4"/>
    </row>
    <row r="568" spans="1:28" ht="13.5" customHeight="1">
      <c r="A568" s="4"/>
      <c r="B568" s="9"/>
      <c r="C568" s="9"/>
      <c r="D568" s="4"/>
      <c r="E568" s="4"/>
      <c r="F568" s="4"/>
      <c r="G568" s="4"/>
      <c r="H568" s="4"/>
      <c r="I568" s="4"/>
      <c r="J568" s="4"/>
      <c r="K568" s="4"/>
      <c r="L568" s="38"/>
      <c r="M568" s="4"/>
      <c r="N568" s="4"/>
      <c r="O568" s="4"/>
      <c r="P568" s="4"/>
      <c r="Q568" s="4"/>
      <c r="R568" s="4"/>
      <c r="S568" s="4"/>
      <c r="T568" s="4"/>
      <c r="U568" s="4"/>
      <c r="V568" s="4"/>
      <c r="W568" s="4"/>
      <c r="X568" s="4"/>
      <c r="Y568" s="4"/>
      <c r="Z568" s="4"/>
      <c r="AA568" s="4"/>
      <c r="AB568" s="4"/>
    </row>
    <row r="569" spans="1:28" ht="13.5" customHeight="1">
      <c r="A569" s="4"/>
      <c r="B569" s="9"/>
      <c r="C569" s="9"/>
      <c r="D569" s="4"/>
      <c r="E569" s="4"/>
      <c r="F569" s="4"/>
      <c r="G569" s="4"/>
      <c r="H569" s="4"/>
      <c r="I569" s="4"/>
      <c r="J569" s="4"/>
      <c r="K569" s="4"/>
      <c r="L569" s="38"/>
      <c r="M569" s="4"/>
      <c r="N569" s="4"/>
      <c r="O569" s="4"/>
      <c r="P569" s="4"/>
      <c r="Q569" s="4"/>
      <c r="R569" s="4"/>
      <c r="S569" s="4"/>
      <c r="T569" s="4"/>
      <c r="U569" s="4"/>
      <c r="V569" s="4"/>
      <c r="W569" s="4"/>
      <c r="X569" s="4"/>
      <c r="Y569" s="4"/>
      <c r="Z569" s="4"/>
      <c r="AA569" s="4"/>
      <c r="AB569" s="4"/>
    </row>
    <row r="570" spans="1:28" ht="13.5" customHeight="1">
      <c r="A570" s="4"/>
      <c r="B570" s="9"/>
      <c r="C570" s="9"/>
      <c r="D570" s="4"/>
      <c r="E570" s="4"/>
      <c r="F570" s="4"/>
      <c r="G570" s="4"/>
      <c r="H570" s="4"/>
      <c r="I570" s="4"/>
      <c r="J570" s="4"/>
      <c r="K570" s="4"/>
      <c r="L570" s="38"/>
      <c r="M570" s="4"/>
      <c r="N570" s="4"/>
      <c r="O570" s="4"/>
      <c r="P570" s="4"/>
      <c r="Q570" s="4"/>
      <c r="R570" s="4"/>
      <c r="S570" s="4"/>
      <c r="T570" s="4"/>
      <c r="U570" s="4"/>
      <c r="V570" s="4"/>
      <c r="W570" s="4"/>
      <c r="X570" s="4"/>
      <c r="Y570" s="4"/>
      <c r="Z570" s="4"/>
      <c r="AA570" s="4"/>
      <c r="AB570" s="4"/>
    </row>
    <row r="571" spans="1:28" ht="13.5" customHeight="1">
      <c r="A571" s="4"/>
      <c r="B571" s="9"/>
      <c r="C571" s="9"/>
      <c r="D571" s="4"/>
      <c r="E571" s="4"/>
      <c r="F571" s="4"/>
      <c r="G571" s="4"/>
      <c r="H571" s="4"/>
      <c r="I571" s="4"/>
      <c r="J571" s="4"/>
      <c r="K571" s="4"/>
      <c r="L571" s="38"/>
      <c r="M571" s="4"/>
      <c r="N571" s="4"/>
      <c r="O571" s="4"/>
      <c r="P571" s="4"/>
      <c r="Q571" s="4"/>
      <c r="R571" s="4"/>
      <c r="S571" s="4"/>
      <c r="T571" s="4"/>
      <c r="U571" s="4"/>
      <c r="V571" s="4"/>
      <c r="W571" s="4"/>
      <c r="X571" s="4"/>
      <c r="Y571" s="4"/>
      <c r="Z571" s="4"/>
      <c r="AA571" s="4"/>
      <c r="AB571" s="4"/>
    </row>
    <row r="572" spans="1:28" ht="13.5" customHeight="1">
      <c r="A572" s="4"/>
      <c r="B572" s="9"/>
      <c r="C572" s="9"/>
      <c r="D572" s="4"/>
      <c r="E572" s="4"/>
      <c r="F572" s="4"/>
      <c r="G572" s="4"/>
      <c r="H572" s="4"/>
      <c r="I572" s="4"/>
      <c r="J572" s="4"/>
      <c r="K572" s="4"/>
      <c r="L572" s="38"/>
      <c r="M572" s="4"/>
      <c r="N572" s="4"/>
      <c r="O572" s="4"/>
      <c r="P572" s="4"/>
      <c r="Q572" s="4"/>
      <c r="R572" s="4"/>
      <c r="S572" s="4"/>
      <c r="T572" s="4"/>
      <c r="U572" s="4"/>
      <c r="V572" s="4"/>
      <c r="W572" s="4"/>
      <c r="X572" s="4"/>
      <c r="Y572" s="4"/>
      <c r="Z572" s="4"/>
      <c r="AA572" s="4"/>
      <c r="AB572" s="4"/>
    </row>
    <row r="573" spans="1:28" ht="13.5" customHeight="1">
      <c r="A573" s="4"/>
      <c r="B573" s="9"/>
      <c r="C573" s="9"/>
      <c r="D573" s="4"/>
      <c r="E573" s="4"/>
      <c r="F573" s="4"/>
      <c r="G573" s="4"/>
      <c r="H573" s="4"/>
      <c r="I573" s="4"/>
      <c r="J573" s="4"/>
      <c r="K573" s="4"/>
      <c r="L573" s="38"/>
      <c r="M573" s="4"/>
      <c r="N573" s="4"/>
      <c r="O573" s="4"/>
      <c r="P573" s="4"/>
      <c r="Q573" s="4"/>
      <c r="R573" s="4"/>
      <c r="S573" s="4"/>
      <c r="T573" s="4"/>
      <c r="U573" s="4"/>
      <c r="V573" s="4"/>
      <c r="W573" s="4"/>
      <c r="X573" s="4"/>
      <c r="Y573" s="4"/>
      <c r="Z573" s="4"/>
      <c r="AA573" s="4"/>
      <c r="AB573" s="4"/>
    </row>
    <row r="574" spans="1:28" ht="13.5" customHeight="1">
      <c r="A574" s="4"/>
      <c r="B574" s="9"/>
      <c r="C574" s="9"/>
      <c r="D574" s="4"/>
      <c r="E574" s="4"/>
      <c r="F574" s="4"/>
      <c r="G574" s="4"/>
      <c r="H574" s="4"/>
      <c r="I574" s="4"/>
      <c r="J574" s="4"/>
      <c r="K574" s="4"/>
      <c r="L574" s="38"/>
      <c r="M574" s="4"/>
      <c r="N574" s="4"/>
      <c r="O574" s="4"/>
      <c r="P574" s="4"/>
      <c r="Q574" s="4"/>
      <c r="R574" s="4"/>
      <c r="S574" s="4"/>
      <c r="T574" s="4"/>
      <c r="U574" s="4"/>
      <c r="V574" s="4"/>
      <c r="W574" s="4"/>
      <c r="X574" s="4"/>
      <c r="Y574" s="4"/>
      <c r="Z574" s="4"/>
      <c r="AA574" s="4"/>
      <c r="AB574" s="4"/>
    </row>
    <row r="575" spans="1:28" ht="13.5" customHeight="1">
      <c r="A575" s="4"/>
      <c r="B575" s="9"/>
      <c r="C575" s="9"/>
      <c r="D575" s="4"/>
      <c r="E575" s="4"/>
      <c r="F575" s="4"/>
      <c r="G575" s="4"/>
      <c r="H575" s="4"/>
      <c r="I575" s="4"/>
      <c r="J575" s="4"/>
      <c r="K575" s="4"/>
      <c r="L575" s="38"/>
      <c r="M575" s="4"/>
      <c r="N575" s="4"/>
      <c r="O575" s="4"/>
      <c r="P575" s="4"/>
      <c r="Q575" s="4"/>
      <c r="R575" s="4"/>
      <c r="S575" s="4"/>
      <c r="T575" s="4"/>
      <c r="U575" s="4"/>
      <c r="V575" s="4"/>
      <c r="W575" s="4"/>
      <c r="X575" s="4"/>
      <c r="Y575" s="4"/>
      <c r="Z575" s="4"/>
      <c r="AA575" s="4"/>
      <c r="AB575" s="4"/>
    </row>
    <row r="576" spans="1:28" ht="13.5" customHeight="1">
      <c r="A576" s="4"/>
      <c r="B576" s="9"/>
      <c r="C576" s="9"/>
      <c r="D576" s="4"/>
      <c r="E576" s="4"/>
      <c r="F576" s="4"/>
      <c r="G576" s="4"/>
      <c r="H576" s="4"/>
      <c r="I576" s="4"/>
      <c r="J576" s="4"/>
      <c r="K576" s="4"/>
      <c r="L576" s="38"/>
      <c r="M576" s="4"/>
      <c r="N576" s="4"/>
      <c r="O576" s="4"/>
      <c r="P576" s="4"/>
      <c r="Q576" s="4"/>
      <c r="R576" s="4"/>
      <c r="S576" s="4"/>
      <c r="T576" s="4"/>
      <c r="U576" s="4"/>
      <c r="V576" s="4"/>
      <c r="W576" s="4"/>
      <c r="X576" s="4"/>
      <c r="Y576" s="4"/>
      <c r="Z576" s="4"/>
      <c r="AA576" s="4"/>
      <c r="AB576" s="4"/>
    </row>
    <row r="577" spans="1:28" ht="13.5" customHeight="1">
      <c r="A577" s="4"/>
      <c r="B577" s="9"/>
      <c r="C577" s="9"/>
      <c r="D577" s="4"/>
      <c r="E577" s="4"/>
      <c r="F577" s="4"/>
      <c r="G577" s="4"/>
      <c r="H577" s="4"/>
      <c r="I577" s="4"/>
      <c r="J577" s="4"/>
      <c r="K577" s="4"/>
      <c r="L577" s="38"/>
      <c r="M577" s="4"/>
      <c r="N577" s="4"/>
      <c r="O577" s="4"/>
      <c r="P577" s="4"/>
      <c r="Q577" s="4"/>
      <c r="R577" s="4"/>
      <c r="S577" s="4"/>
      <c r="T577" s="4"/>
      <c r="U577" s="4"/>
      <c r="V577" s="4"/>
      <c r="W577" s="4"/>
      <c r="X577" s="4"/>
      <c r="Y577" s="4"/>
      <c r="Z577" s="4"/>
      <c r="AA577" s="4"/>
      <c r="AB577" s="4"/>
    </row>
    <row r="578" spans="1:28" ht="13.5" customHeight="1">
      <c r="A578" s="4"/>
      <c r="B578" s="9"/>
      <c r="C578" s="9"/>
      <c r="D578" s="4"/>
      <c r="E578" s="4"/>
      <c r="F578" s="4"/>
      <c r="G578" s="4"/>
      <c r="H578" s="4"/>
      <c r="I578" s="4"/>
      <c r="J578" s="4"/>
      <c r="K578" s="4"/>
      <c r="L578" s="38"/>
      <c r="M578" s="4"/>
      <c r="N578" s="4"/>
      <c r="O578" s="4"/>
      <c r="P578" s="4"/>
      <c r="Q578" s="4"/>
      <c r="R578" s="4"/>
      <c r="S578" s="4"/>
      <c r="T578" s="4"/>
      <c r="U578" s="4"/>
      <c r="V578" s="4"/>
      <c r="W578" s="4"/>
      <c r="X578" s="4"/>
      <c r="Y578" s="4"/>
      <c r="Z578" s="4"/>
      <c r="AA578" s="4"/>
      <c r="AB578" s="4"/>
    </row>
    <row r="579" spans="1:28" ht="13.5" customHeight="1">
      <c r="A579" s="4"/>
      <c r="B579" s="9"/>
      <c r="C579" s="9"/>
      <c r="D579" s="4"/>
      <c r="E579" s="4"/>
      <c r="F579" s="4"/>
      <c r="G579" s="4"/>
      <c r="H579" s="4"/>
      <c r="I579" s="4"/>
      <c r="J579" s="4"/>
      <c r="K579" s="4"/>
      <c r="L579" s="38"/>
      <c r="M579" s="4"/>
      <c r="N579" s="4"/>
      <c r="O579" s="4"/>
      <c r="P579" s="4"/>
      <c r="Q579" s="4"/>
      <c r="R579" s="4"/>
      <c r="S579" s="4"/>
      <c r="T579" s="4"/>
      <c r="U579" s="4"/>
      <c r="V579" s="4"/>
      <c r="W579" s="4"/>
      <c r="X579" s="4"/>
      <c r="Y579" s="4"/>
      <c r="Z579" s="4"/>
      <c r="AA579" s="4"/>
      <c r="AB579" s="4"/>
    </row>
    <row r="580" spans="1:28" ht="13.5" customHeight="1">
      <c r="A580" s="4"/>
      <c r="B580" s="9"/>
      <c r="C580" s="9"/>
      <c r="D580" s="4"/>
      <c r="E580" s="4"/>
      <c r="F580" s="4"/>
      <c r="G580" s="4"/>
      <c r="H580" s="4"/>
      <c r="I580" s="4"/>
      <c r="J580" s="4"/>
      <c r="K580" s="4"/>
      <c r="L580" s="38"/>
      <c r="M580" s="4"/>
      <c r="N580" s="4"/>
      <c r="O580" s="4"/>
      <c r="P580" s="4"/>
      <c r="Q580" s="4"/>
      <c r="R580" s="4"/>
      <c r="S580" s="4"/>
      <c r="T580" s="4"/>
      <c r="U580" s="4"/>
      <c r="V580" s="4"/>
      <c r="W580" s="4"/>
      <c r="X580" s="4"/>
      <c r="Y580" s="4"/>
      <c r="Z580" s="4"/>
      <c r="AA580" s="4"/>
      <c r="AB580" s="4"/>
    </row>
    <row r="581" spans="1:28" ht="13.5" customHeight="1">
      <c r="A581" s="4"/>
      <c r="B581" s="9"/>
      <c r="C581" s="9"/>
      <c r="D581" s="4"/>
      <c r="E581" s="4"/>
      <c r="F581" s="4"/>
      <c r="G581" s="4"/>
      <c r="H581" s="4"/>
      <c r="I581" s="4"/>
      <c r="J581" s="4"/>
      <c r="K581" s="4"/>
      <c r="L581" s="38"/>
      <c r="M581" s="4"/>
      <c r="N581" s="4"/>
      <c r="O581" s="4"/>
      <c r="P581" s="4"/>
      <c r="Q581" s="4"/>
      <c r="R581" s="4"/>
      <c r="S581" s="4"/>
      <c r="T581" s="4"/>
      <c r="U581" s="4"/>
      <c r="V581" s="4"/>
      <c r="W581" s="4"/>
      <c r="X581" s="4"/>
      <c r="Y581" s="4"/>
      <c r="Z581" s="4"/>
      <c r="AA581" s="4"/>
      <c r="AB581" s="4"/>
    </row>
    <row r="582" spans="1:28" ht="13.5" customHeight="1">
      <c r="A582" s="4"/>
      <c r="B582" s="9"/>
      <c r="C582" s="9"/>
      <c r="D582" s="4"/>
      <c r="E582" s="4"/>
      <c r="F582" s="4"/>
      <c r="G582" s="4"/>
      <c r="H582" s="4"/>
      <c r="I582" s="4"/>
      <c r="J582" s="4"/>
      <c r="K582" s="4"/>
      <c r="L582" s="38"/>
      <c r="M582" s="4"/>
      <c r="N582" s="4"/>
      <c r="O582" s="4"/>
      <c r="P582" s="4"/>
      <c r="Q582" s="4"/>
      <c r="R582" s="4"/>
      <c r="S582" s="4"/>
      <c r="T582" s="4"/>
      <c r="U582" s="4"/>
      <c r="V582" s="4"/>
      <c r="W582" s="4"/>
      <c r="X582" s="4"/>
      <c r="Y582" s="4"/>
      <c r="Z582" s="4"/>
      <c r="AA582" s="4"/>
      <c r="AB582" s="4"/>
    </row>
    <row r="583" spans="1:28" ht="13.5" customHeight="1">
      <c r="A583" s="4"/>
      <c r="B583" s="9"/>
      <c r="C583" s="9"/>
      <c r="D583" s="4"/>
      <c r="E583" s="4"/>
      <c r="F583" s="4"/>
      <c r="G583" s="4"/>
      <c r="H583" s="4"/>
      <c r="I583" s="4"/>
      <c r="J583" s="4"/>
      <c r="K583" s="4"/>
      <c r="L583" s="38"/>
      <c r="M583" s="4"/>
      <c r="N583" s="4"/>
      <c r="O583" s="4"/>
      <c r="P583" s="4"/>
      <c r="Q583" s="4"/>
      <c r="R583" s="4"/>
      <c r="S583" s="4"/>
      <c r="T583" s="4"/>
      <c r="U583" s="4"/>
      <c r="V583" s="4"/>
      <c r="W583" s="4"/>
      <c r="X583" s="4"/>
      <c r="Y583" s="4"/>
      <c r="Z583" s="4"/>
      <c r="AA583" s="4"/>
      <c r="AB583" s="4"/>
    </row>
    <row r="584" spans="1:28" ht="13.5" customHeight="1">
      <c r="A584" s="4"/>
      <c r="B584" s="9"/>
      <c r="C584" s="9"/>
      <c r="D584" s="4"/>
      <c r="E584" s="4"/>
      <c r="F584" s="4"/>
      <c r="G584" s="4"/>
      <c r="H584" s="4"/>
      <c r="I584" s="4"/>
      <c r="J584" s="4"/>
      <c r="K584" s="4"/>
      <c r="L584" s="38"/>
      <c r="M584" s="4"/>
      <c r="N584" s="4"/>
      <c r="O584" s="4"/>
      <c r="P584" s="4"/>
      <c r="Q584" s="4"/>
      <c r="R584" s="4"/>
      <c r="S584" s="4"/>
      <c r="T584" s="4"/>
      <c r="U584" s="4"/>
      <c r="V584" s="4"/>
      <c r="W584" s="4"/>
      <c r="X584" s="4"/>
      <c r="Y584" s="4"/>
      <c r="Z584" s="4"/>
      <c r="AA584" s="4"/>
      <c r="AB584" s="4"/>
    </row>
    <row r="585" spans="1:28" ht="13.5" customHeight="1">
      <c r="A585" s="4"/>
      <c r="B585" s="9"/>
      <c r="C585" s="9"/>
      <c r="D585" s="4"/>
      <c r="E585" s="4"/>
      <c r="F585" s="4"/>
      <c r="G585" s="4"/>
      <c r="H585" s="4"/>
      <c r="I585" s="4"/>
      <c r="J585" s="4"/>
      <c r="K585" s="4"/>
      <c r="L585" s="38"/>
      <c r="M585" s="4"/>
      <c r="N585" s="4"/>
      <c r="O585" s="4"/>
      <c r="P585" s="4"/>
      <c r="Q585" s="4"/>
      <c r="R585" s="4"/>
      <c r="S585" s="4"/>
      <c r="T585" s="4"/>
      <c r="U585" s="4"/>
      <c r="V585" s="4"/>
      <c r="W585" s="4"/>
      <c r="X585" s="4"/>
      <c r="Y585" s="4"/>
      <c r="Z585" s="4"/>
      <c r="AA585" s="4"/>
      <c r="AB585" s="4"/>
    </row>
    <row r="586" spans="1:28" ht="13.5" customHeight="1">
      <c r="A586" s="4"/>
      <c r="B586" s="9"/>
      <c r="C586" s="9"/>
      <c r="D586" s="4"/>
      <c r="E586" s="4"/>
      <c r="F586" s="4"/>
      <c r="G586" s="4"/>
      <c r="H586" s="4"/>
      <c r="I586" s="4"/>
      <c r="J586" s="4"/>
      <c r="K586" s="4"/>
      <c r="L586" s="38"/>
      <c r="M586" s="4"/>
      <c r="N586" s="4"/>
      <c r="O586" s="4"/>
      <c r="P586" s="4"/>
      <c r="Q586" s="4"/>
      <c r="R586" s="4"/>
      <c r="S586" s="4"/>
      <c r="T586" s="4"/>
      <c r="U586" s="4"/>
      <c r="V586" s="4"/>
      <c r="W586" s="4"/>
      <c r="X586" s="4"/>
      <c r="Y586" s="4"/>
      <c r="Z586" s="4"/>
      <c r="AA586" s="4"/>
      <c r="AB586" s="4"/>
    </row>
    <row r="587" spans="1:28" ht="13.5" customHeight="1">
      <c r="A587" s="4"/>
      <c r="B587" s="9"/>
      <c r="C587" s="9"/>
      <c r="D587" s="4"/>
      <c r="E587" s="4"/>
      <c r="F587" s="4"/>
      <c r="G587" s="4"/>
      <c r="H587" s="4"/>
      <c r="I587" s="4"/>
      <c r="J587" s="4"/>
      <c r="K587" s="4"/>
      <c r="L587" s="38"/>
      <c r="M587" s="4"/>
      <c r="N587" s="4"/>
      <c r="O587" s="4"/>
      <c r="P587" s="4"/>
      <c r="Q587" s="4"/>
      <c r="R587" s="4"/>
      <c r="S587" s="4"/>
      <c r="T587" s="4"/>
      <c r="U587" s="4"/>
      <c r="V587" s="4"/>
      <c r="W587" s="4"/>
      <c r="X587" s="4"/>
      <c r="Y587" s="4"/>
      <c r="Z587" s="4"/>
      <c r="AA587" s="4"/>
      <c r="AB587" s="4"/>
    </row>
    <row r="588" spans="1:28" ht="13.5" customHeight="1">
      <c r="A588" s="4"/>
      <c r="B588" s="9"/>
      <c r="C588" s="9"/>
      <c r="D588" s="4"/>
      <c r="E588" s="4"/>
      <c r="F588" s="4"/>
      <c r="G588" s="4"/>
      <c r="H588" s="4"/>
      <c r="I588" s="4"/>
      <c r="J588" s="4"/>
      <c r="K588" s="4"/>
      <c r="L588" s="38"/>
      <c r="M588" s="4"/>
      <c r="N588" s="4"/>
      <c r="O588" s="4"/>
      <c r="P588" s="4"/>
      <c r="Q588" s="4"/>
      <c r="R588" s="4"/>
      <c r="S588" s="4"/>
      <c r="T588" s="4"/>
      <c r="U588" s="4"/>
      <c r="V588" s="4"/>
      <c r="W588" s="4"/>
      <c r="X588" s="4"/>
      <c r="Y588" s="4"/>
      <c r="Z588" s="4"/>
      <c r="AA588" s="4"/>
      <c r="AB588" s="4"/>
    </row>
    <row r="589" spans="1:28" ht="13.5" customHeight="1">
      <c r="A589" s="4"/>
      <c r="B589" s="9"/>
      <c r="C589" s="9"/>
      <c r="D589" s="4"/>
      <c r="E589" s="4"/>
      <c r="F589" s="4"/>
      <c r="G589" s="4"/>
      <c r="H589" s="4"/>
      <c r="I589" s="4"/>
      <c r="J589" s="4"/>
      <c r="K589" s="4"/>
      <c r="L589" s="38"/>
      <c r="M589" s="4"/>
      <c r="N589" s="4"/>
      <c r="O589" s="4"/>
      <c r="P589" s="4"/>
      <c r="Q589" s="4"/>
      <c r="R589" s="4"/>
      <c r="S589" s="4"/>
      <c r="T589" s="4"/>
      <c r="U589" s="4"/>
      <c r="V589" s="4"/>
      <c r="W589" s="4"/>
      <c r="X589" s="4"/>
      <c r="Y589" s="4"/>
      <c r="Z589" s="4"/>
      <c r="AA589" s="4"/>
      <c r="AB589" s="4"/>
    </row>
    <row r="590" spans="1:28" ht="13.5" customHeight="1">
      <c r="A590" s="4"/>
      <c r="B590" s="9"/>
      <c r="C590" s="9"/>
      <c r="D590" s="4"/>
      <c r="E590" s="4"/>
      <c r="F590" s="4"/>
      <c r="G590" s="4"/>
      <c r="H590" s="4"/>
      <c r="I590" s="4"/>
      <c r="J590" s="4"/>
      <c r="K590" s="4"/>
      <c r="L590" s="38"/>
      <c r="M590" s="4"/>
      <c r="N590" s="4"/>
      <c r="O590" s="4"/>
      <c r="P590" s="4"/>
      <c r="Q590" s="4"/>
      <c r="R590" s="4"/>
      <c r="S590" s="4"/>
      <c r="T590" s="4"/>
      <c r="U590" s="4"/>
      <c r="V590" s="4"/>
      <c r="W590" s="4"/>
      <c r="X590" s="4"/>
      <c r="Y590" s="4"/>
      <c r="Z590" s="4"/>
      <c r="AA590" s="4"/>
      <c r="AB590" s="4"/>
    </row>
    <row r="591" spans="1:28" ht="13.5" customHeight="1">
      <c r="A591" s="4"/>
      <c r="B591" s="9"/>
      <c r="C591" s="9"/>
      <c r="D591" s="4"/>
      <c r="E591" s="4"/>
      <c r="F591" s="4"/>
      <c r="G591" s="4"/>
      <c r="H591" s="4"/>
      <c r="I591" s="4"/>
      <c r="J591" s="4"/>
      <c r="K591" s="4"/>
      <c r="L591" s="38"/>
      <c r="M591" s="4"/>
      <c r="N591" s="4"/>
      <c r="O591" s="4"/>
      <c r="P591" s="4"/>
      <c r="Q591" s="4"/>
      <c r="R591" s="4"/>
      <c r="S591" s="4"/>
      <c r="T591" s="4"/>
      <c r="U591" s="4"/>
      <c r="V591" s="4"/>
      <c r="W591" s="4"/>
      <c r="X591" s="4"/>
      <c r="Y591" s="4"/>
      <c r="Z591" s="4"/>
      <c r="AA591" s="4"/>
      <c r="AB591" s="4"/>
    </row>
    <row r="592" spans="1:28" ht="13.5" customHeight="1">
      <c r="A592" s="4"/>
      <c r="B592" s="9"/>
      <c r="C592" s="9"/>
      <c r="D592" s="4"/>
      <c r="E592" s="4"/>
      <c r="F592" s="4"/>
      <c r="G592" s="4"/>
      <c r="H592" s="4"/>
      <c r="I592" s="4"/>
      <c r="J592" s="4"/>
      <c r="K592" s="4"/>
      <c r="L592" s="38"/>
      <c r="M592" s="4"/>
      <c r="N592" s="4"/>
      <c r="O592" s="4"/>
      <c r="P592" s="4"/>
      <c r="Q592" s="4"/>
      <c r="R592" s="4"/>
      <c r="S592" s="4"/>
      <c r="T592" s="4"/>
      <c r="U592" s="4"/>
      <c r="V592" s="4"/>
      <c r="W592" s="4"/>
      <c r="X592" s="4"/>
      <c r="Y592" s="4"/>
      <c r="Z592" s="4"/>
      <c r="AA592" s="4"/>
      <c r="AB592" s="4"/>
    </row>
    <row r="593" spans="1:28" ht="13.5" customHeight="1">
      <c r="A593" s="4"/>
      <c r="B593" s="9"/>
      <c r="C593" s="9"/>
      <c r="D593" s="4"/>
      <c r="E593" s="4"/>
      <c r="F593" s="4"/>
      <c r="G593" s="4"/>
      <c r="H593" s="4"/>
      <c r="I593" s="4"/>
      <c r="J593" s="4"/>
      <c r="K593" s="4"/>
      <c r="L593" s="38"/>
      <c r="M593" s="4"/>
      <c r="N593" s="4"/>
      <c r="O593" s="4"/>
      <c r="P593" s="4"/>
      <c r="Q593" s="4"/>
      <c r="R593" s="4"/>
      <c r="S593" s="4"/>
      <c r="T593" s="4"/>
      <c r="U593" s="4"/>
      <c r="V593" s="4"/>
      <c r="W593" s="4"/>
      <c r="X593" s="4"/>
      <c r="Y593" s="4"/>
      <c r="Z593" s="4"/>
      <c r="AA593" s="4"/>
      <c r="AB593" s="4"/>
    </row>
    <row r="594" spans="1:28" ht="13.5" customHeight="1">
      <c r="A594" s="4"/>
      <c r="B594" s="9"/>
      <c r="C594" s="9"/>
      <c r="D594" s="4"/>
      <c r="E594" s="4"/>
      <c r="F594" s="4"/>
      <c r="G594" s="4"/>
      <c r="H594" s="4"/>
      <c r="I594" s="4"/>
      <c r="J594" s="4"/>
      <c r="K594" s="4"/>
      <c r="L594" s="38"/>
      <c r="M594" s="4"/>
      <c r="N594" s="4"/>
      <c r="O594" s="4"/>
      <c r="P594" s="4"/>
      <c r="Q594" s="4"/>
      <c r="R594" s="4"/>
      <c r="S594" s="4"/>
      <c r="T594" s="4"/>
      <c r="U594" s="4"/>
      <c r="V594" s="4"/>
      <c r="W594" s="4"/>
      <c r="X594" s="4"/>
      <c r="Y594" s="4"/>
      <c r="Z594" s="4"/>
      <c r="AA594" s="4"/>
      <c r="AB594" s="4"/>
    </row>
    <row r="595" spans="1:28" ht="13.5" customHeight="1">
      <c r="A595" s="4"/>
      <c r="B595" s="9"/>
      <c r="C595" s="9"/>
      <c r="D595" s="4"/>
      <c r="E595" s="4"/>
      <c r="F595" s="4"/>
      <c r="G595" s="4"/>
      <c r="H595" s="4"/>
      <c r="I595" s="4"/>
      <c r="J595" s="4"/>
      <c r="K595" s="4"/>
      <c r="L595" s="38"/>
      <c r="M595" s="4"/>
      <c r="N595" s="4"/>
      <c r="O595" s="4"/>
      <c r="P595" s="4"/>
      <c r="Q595" s="4"/>
      <c r="R595" s="4"/>
      <c r="S595" s="4"/>
      <c r="T595" s="4"/>
      <c r="U595" s="4"/>
      <c r="V595" s="4"/>
      <c r="W595" s="4"/>
      <c r="X595" s="4"/>
      <c r="Y595" s="4"/>
      <c r="Z595" s="4"/>
      <c r="AA595" s="4"/>
      <c r="AB595" s="4"/>
    </row>
    <row r="596" spans="1:28" ht="13.5" customHeight="1">
      <c r="A596" s="4"/>
      <c r="B596" s="9"/>
      <c r="C596" s="9"/>
      <c r="D596" s="4"/>
      <c r="E596" s="4"/>
      <c r="F596" s="4"/>
      <c r="G596" s="4"/>
      <c r="H596" s="4"/>
      <c r="I596" s="4"/>
      <c r="J596" s="4"/>
      <c r="K596" s="4"/>
      <c r="L596" s="38"/>
      <c r="M596" s="4"/>
      <c r="N596" s="4"/>
      <c r="O596" s="4"/>
      <c r="P596" s="4"/>
      <c r="Q596" s="4"/>
      <c r="R596" s="4"/>
      <c r="S596" s="4"/>
      <c r="T596" s="4"/>
      <c r="U596" s="4"/>
      <c r="V596" s="4"/>
      <c r="W596" s="4"/>
      <c r="X596" s="4"/>
      <c r="Y596" s="4"/>
      <c r="Z596" s="4"/>
      <c r="AA596" s="4"/>
      <c r="AB596" s="4"/>
    </row>
    <row r="597" spans="1:28" ht="13.5" customHeight="1">
      <c r="A597" s="4"/>
      <c r="B597" s="9"/>
      <c r="C597" s="9"/>
      <c r="D597" s="4"/>
      <c r="E597" s="4"/>
      <c r="F597" s="4"/>
      <c r="G597" s="4"/>
      <c r="H597" s="4"/>
      <c r="I597" s="4"/>
      <c r="J597" s="4"/>
      <c r="K597" s="4"/>
      <c r="L597" s="38"/>
      <c r="M597" s="4"/>
      <c r="N597" s="4"/>
      <c r="O597" s="4"/>
      <c r="P597" s="4"/>
      <c r="Q597" s="4"/>
      <c r="R597" s="4"/>
      <c r="S597" s="4"/>
      <c r="T597" s="4"/>
      <c r="U597" s="4"/>
      <c r="V597" s="4"/>
      <c r="W597" s="4"/>
      <c r="X597" s="4"/>
      <c r="Y597" s="4"/>
      <c r="Z597" s="4"/>
      <c r="AA597" s="4"/>
      <c r="AB597" s="4"/>
    </row>
    <row r="598" spans="1:28" ht="13.5" customHeight="1">
      <c r="A598" s="4"/>
      <c r="B598" s="9"/>
      <c r="C598" s="9"/>
      <c r="D598" s="4"/>
      <c r="E598" s="4"/>
      <c r="F598" s="4"/>
      <c r="G598" s="4"/>
      <c r="H598" s="4"/>
      <c r="I598" s="4"/>
      <c r="J598" s="4"/>
      <c r="K598" s="4"/>
      <c r="L598" s="38"/>
      <c r="M598" s="4"/>
      <c r="N598" s="4"/>
      <c r="O598" s="4"/>
      <c r="P598" s="4"/>
      <c r="Q598" s="4"/>
      <c r="R598" s="4"/>
      <c r="S598" s="4"/>
      <c r="T598" s="4"/>
      <c r="U598" s="4"/>
      <c r="V598" s="4"/>
      <c r="W598" s="4"/>
      <c r="X598" s="4"/>
      <c r="Y598" s="4"/>
      <c r="Z598" s="4"/>
      <c r="AA598" s="4"/>
      <c r="AB598" s="4"/>
    </row>
    <row r="599" spans="1:28" ht="13.5" customHeight="1">
      <c r="A599" s="4"/>
      <c r="B599" s="9"/>
      <c r="C599" s="9"/>
      <c r="D599" s="4"/>
      <c r="E599" s="4"/>
      <c r="F599" s="4"/>
      <c r="G599" s="4"/>
      <c r="H599" s="4"/>
      <c r="I599" s="4"/>
      <c r="J599" s="4"/>
      <c r="K599" s="4"/>
      <c r="L599" s="38"/>
      <c r="M599" s="4"/>
      <c r="N599" s="4"/>
      <c r="O599" s="4"/>
      <c r="P599" s="4"/>
      <c r="Q599" s="4"/>
      <c r="R599" s="4"/>
      <c r="S599" s="4"/>
      <c r="T599" s="4"/>
      <c r="U599" s="4"/>
      <c r="V599" s="4"/>
      <c r="W599" s="4"/>
      <c r="X599" s="4"/>
      <c r="Y599" s="4"/>
      <c r="Z599" s="4"/>
      <c r="AA599" s="4"/>
      <c r="AB599" s="4"/>
    </row>
    <row r="600" spans="1:28" ht="13.5" customHeight="1">
      <c r="A600" s="4"/>
      <c r="B600" s="9"/>
      <c r="C600" s="9"/>
      <c r="D600" s="4"/>
      <c r="E600" s="4"/>
      <c r="F600" s="4"/>
      <c r="G600" s="4"/>
      <c r="H600" s="4"/>
      <c r="I600" s="4"/>
      <c r="J600" s="4"/>
      <c r="K600" s="4"/>
      <c r="L600" s="38"/>
      <c r="M600" s="4"/>
      <c r="N600" s="4"/>
      <c r="O600" s="4"/>
      <c r="P600" s="4"/>
      <c r="Q600" s="4"/>
      <c r="R600" s="4"/>
      <c r="S600" s="4"/>
      <c r="T600" s="4"/>
      <c r="U600" s="4"/>
      <c r="V600" s="4"/>
      <c r="W600" s="4"/>
      <c r="X600" s="4"/>
      <c r="Y600" s="4"/>
      <c r="Z600" s="4"/>
      <c r="AA600" s="4"/>
      <c r="AB600" s="4"/>
    </row>
    <row r="601" spans="1:28" ht="13.5" customHeight="1">
      <c r="A601" s="4"/>
      <c r="B601" s="9"/>
      <c r="C601" s="9"/>
      <c r="D601" s="4"/>
      <c r="E601" s="4"/>
      <c r="F601" s="4"/>
      <c r="G601" s="4"/>
      <c r="H601" s="4"/>
      <c r="I601" s="4"/>
      <c r="J601" s="4"/>
      <c r="K601" s="4"/>
      <c r="L601" s="38"/>
      <c r="M601" s="4"/>
      <c r="N601" s="4"/>
      <c r="O601" s="4"/>
      <c r="P601" s="4"/>
      <c r="Q601" s="4"/>
      <c r="R601" s="4"/>
      <c r="S601" s="4"/>
      <c r="T601" s="4"/>
      <c r="U601" s="4"/>
      <c r="V601" s="4"/>
      <c r="W601" s="4"/>
      <c r="X601" s="4"/>
      <c r="Y601" s="4"/>
      <c r="Z601" s="4"/>
      <c r="AA601" s="4"/>
      <c r="AB601" s="4"/>
    </row>
    <row r="602" spans="1:28" ht="13.5" customHeight="1">
      <c r="A602" s="4"/>
      <c r="B602" s="9"/>
      <c r="C602" s="9"/>
      <c r="D602" s="4"/>
      <c r="E602" s="4"/>
      <c r="F602" s="4"/>
      <c r="G602" s="4"/>
      <c r="H602" s="4"/>
      <c r="I602" s="4"/>
      <c r="J602" s="4"/>
      <c r="K602" s="4"/>
      <c r="L602" s="38"/>
      <c r="M602" s="4"/>
      <c r="N602" s="4"/>
      <c r="O602" s="4"/>
      <c r="P602" s="4"/>
      <c r="Q602" s="4"/>
      <c r="R602" s="4"/>
      <c r="S602" s="4"/>
      <c r="T602" s="4"/>
      <c r="U602" s="4"/>
      <c r="V602" s="4"/>
      <c r="W602" s="4"/>
      <c r="X602" s="4"/>
      <c r="Y602" s="4"/>
      <c r="Z602" s="4"/>
      <c r="AA602" s="4"/>
      <c r="AB602" s="4"/>
    </row>
    <row r="603" spans="1:28" ht="13.5" customHeight="1">
      <c r="A603" s="4"/>
      <c r="B603" s="9"/>
      <c r="C603" s="9"/>
      <c r="D603" s="4"/>
      <c r="E603" s="4"/>
      <c r="F603" s="4"/>
      <c r="G603" s="4"/>
      <c r="H603" s="4"/>
      <c r="I603" s="4"/>
      <c r="J603" s="4"/>
      <c r="K603" s="4"/>
      <c r="L603" s="38"/>
      <c r="M603" s="4"/>
      <c r="N603" s="4"/>
      <c r="O603" s="4"/>
      <c r="P603" s="4"/>
      <c r="Q603" s="4"/>
      <c r="R603" s="4"/>
      <c r="S603" s="4"/>
      <c r="T603" s="4"/>
      <c r="U603" s="4"/>
      <c r="V603" s="4"/>
      <c r="W603" s="4"/>
      <c r="X603" s="4"/>
      <c r="Y603" s="4"/>
      <c r="Z603" s="4"/>
      <c r="AA603" s="4"/>
      <c r="AB603" s="4"/>
    </row>
    <row r="604" spans="1:28" ht="13.5" customHeight="1">
      <c r="A604" s="4"/>
      <c r="B604" s="9"/>
      <c r="C604" s="9"/>
      <c r="D604" s="4"/>
      <c r="E604" s="4"/>
      <c r="F604" s="4"/>
      <c r="G604" s="4"/>
      <c r="H604" s="4"/>
      <c r="I604" s="4"/>
      <c r="J604" s="4"/>
      <c r="K604" s="4"/>
      <c r="L604" s="38"/>
      <c r="M604" s="4"/>
      <c r="N604" s="4"/>
      <c r="O604" s="4"/>
      <c r="P604" s="4"/>
      <c r="Q604" s="4"/>
      <c r="R604" s="4"/>
      <c r="S604" s="4"/>
      <c r="T604" s="4"/>
      <c r="U604" s="4"/>
      <c r="V604" s="4"/>
      <c r="W604" s="4"/>
      <c r="X604" s="4"/>
      <c r="Y604" s="4"/>
      <c r="Z604" s="4"/>
      <c r="AA604" s="4"/>
      <c r="AB604" s="4"/>
    </row>
    <row r="605" spans="1:28" ht="13.5" customHeight="1">
      <c r="A605" s="4"/>
      <c r="B605" s="9"/>
      <c r="C605" s="9"/>
      <c r="D605" s="4"/>
      <c r="E605" s="4"/>
      <c r="F605" s="4"/>
      <c r="G605" s="4"/>
      <c r="H605" s="4"/>
      <c r="I605" s="4"/>
      <c r="J605" s="4"/>
      <c r="K605" s="4"/>
      <c r="L605" s="38"/>
      <c r="M605" s="4"/>
      <c r="N605" s="4"/>
      <c r="O605" s="4"/>
      <c r="P605" s="4"/>
      <c r="Q605" s="4"/>
      <c r="R605" s="4"/>
      <c r="S605" s="4"/>
      <c r="T605" s="4"/>
      <c r="U605" s="4"/>
      <c r="V605" s="4"/>
      <c r="W605" s="4"/>
      <c r="X605" s="4"/>
      <c r="Y605" s="4"/>
      <c r="Z605" s="4"/>
      <c r="AA605" s="4"/>
      <c r="AB605" s="4"/>
    </row>
    <row r="606" spans="1:28" ht="13.5" customHeight="1">
      <c r="A606" s="4"/>
      <c r="B606" s="9"/>
      <c r="C606" s="9"/>
      <c r="D606" s="4"/>
      <c r="E606" s="4"/>
      <c r="F606" s="4"/>
      <c r="G606" s="4"/>
      <c r="H606" s="4"/>
      <c r="I606" s="4"/>
      <c r="J606" s="4"/>
      <c r="K606" s="4"/>
      <c r="L606" s="38"/>
      <c r="M606" s="4"/>
      <c r="N606" s="4"/>
      <c r="O606" s="4"/>
      <c r="P606" s="4"/>
      <c r="Q606" s="4"/>
      <c r="R606" s="4"/>
      <c r="S606" s="4"/>
      <c r="T606" s="4"/>
      <c r="U606" s="4"/>
      <c r="V606" s="4"/>
      <c r="W606" s="4"/>
      <c r="X606" s="4"/>
      <c r="Y606" s="4"/>
      <c r="Z606" s="4"/>
      <c r="AA606" s="4"/>
      <c r="AB606" s="4"/>
    </row>
    <row r="607" spans="1:28" ht="13.5" customHeight="1">
      <c r="A607" s="4"/>
      <c r="B607" s="9"/>
      <c r="C607" s="9"/>
      <c r="D607" s="4"/>
      <c r="E607" s="4"/>
      <c r="F607" s="4"/>
      <c r="G607" s="4"/>
      <c r="H607" s="4"/>
      <c r="I607" s="4"/>
      <c r="J607" s="4"/>
      <c r="K607" s="4"/>
      <c r="L607" s="38"/>
      <c r="M607" s="4"/>
      <c r="N607" s="4"/>
      <c r="O607" s="4"/>
      <c r="P607" s="4"/>
      <c r="Q607" s="4"/>
      <c r="R607" s="4"/>
      <c r="S607" s="4"/>
      <c r="T607" s="4"/>
      <c r="U607" s="4"/>
      <c r="V607" s="4"/>
      <c r="W607" s="4"/>
      <c r="X607" s="4"/>
      <c r="Y607" s="4"/>
      <c r="Z607" s="4"/>
      <c r="AA607" s="4"/>
      <c r="AB607" s="4"/>
    </row>
    <row r="608" spans="1:28" ht="13.5" customHeight="1">
      <c r="A608" s="4"/>
      <c r="B608" s="9"/>
      <c r="C608" s="9"/>
      <c r="D608" s="4"/>
      <c r="E608" s="4"/>
      <c r="F608" s="4"/>
      <c r="G608" s="4"/>
      <c r="H608" s="4"/>
      <c r="I608" s="4"/>
      <c r="J608" s="4"/>
      <c r="K608" s="4"/>
      <c r="L608" s="38"/>
      <c r="M608" s="4"/>
      <c r="N608" s="4"/>
      <c r="O608" s="4"/>
      <c r="P608" s="4"/>
      <c r="Q608" s="4"/>
      <c r="R608" s="4"/>
      <c r="S608" s="4"/>
      <c r="T608" s="4"/>
      <c r="U608" s="4"/>
      <c r="V608" s="4"/>
      <c r="W608" s="4"/>
      <c r="X608" s="4"/>
      <c r="Y608" s="4"/>
      <c r="Z608" s="4"/>
      <c r="AA608" s="4"/>
      <c r="AB608" s="4"/>
    </row>
    <row r="609" spans="1:28" ht="13.5" customHeight="1">
      <c r="A609" s="4"/>
      <c r="B609" s="9"/>
      <c r="C609" s="9"/>
      <c r="D609" s="4"/>
      <c r="E609" s="4"/>
      <c r="F609" s="4"/>
      <c r="G609" s="4"/>
      <c r="H609" s="4"/>
      <c r="I609" s="4"/>
      <c r="J609" s="4"/>
      <c r="K609" s="4"/>
      <c r="L609" s="38"/>
      <c r="M609" s="4"/>
      <c r="N609" s="4"/>
      <c r="O609" s="4"/>
      <c r="P609" s="4"/>
      <c r="Q609" s="4"/>
      <c r="R609" s="4"/>
      <c r="S609" s="4"/>
      <c r="T609" s="4"/>
      <c r="U609" s="4"/>
      <c r="V609" s="4"/>
      <c r="W609" s="4"/>
      <c r="X609" s="4"/>
      <c r="Y609" s="4"/>
      <c r="Z609" s="4"/>
      <c r="AA609" s="4"/>
      <c r="AB609" s="4"/>
    </row>
    <row r="610" spans="1:28" ht="13.5" customHeight="1">
      <c r="A610" s="4"/>
      <c r="B610" s="9"/>
      <c r="C610" s="9"/>
      <c r="D610" s="4"/>
      <c r="E610" s="4"/>
      <c r="F610" s="4"/>
      <c r="G610" s="4"/>
      <c r="H610" s="4"/>
      <c r="I610" s="4"/>
      <c r="J610" s="4"/>
      <c r="K610" s="4"/>
      <c r="L610" s="38"/>
      <c r="M610" s="4"/>
      <c r="N610" s="4"/>
      <c r="O610" s="4"/>
      <c r="P610" s="4"/>
      <c r="Q610" s="4"/>
      <c r="R610" s="4"/>
      <c r="S610" s="4"/>
      <c r="T610" s="4"/>
      <c r="U610" s="4"/>
      <c r="V610" s="4"/>
      <c r="W610" s="4"/>
      <c r="X610" s="4"/>
      <c r="Y610" s="4"/>
      <c r="Z610" s="4"/>
      <c r="AA610" s="4"/>
      <c r="AB610" s="4"/>
    </row>
    <row r="611" spans="1:28" ht="13.5" customHeight="1">
      <c r="A611" s="4"/>
      <c r="B611" s="9"/>
      <c r="C611" s="9"/>
      <c r="D611" s="4"/>
      <c r="E611" s="4"/>
      <c r="F611" s="4"/>
      <c r="G611" s="4"/>
      <c r="H611" s="4"/>
      <c r="I611" s="4"/>
      <c r="J611" s="4"/>
      <c r="K611" s="4"/>
      <c r="L611" s="38"/>
      <c r="M611" s="4"/>
      <c r="N611" s="4"/>
      <c r="O611" s="4"/>
      <c r="P611" s="4"/>
      <c r="Q611" s="4"/>
      <c r="R611" s="4"/>
      <c r="S611" s="4"/>
      <c r="T611" s="4"/>
      <c r="U611" s="4"/>
      <c r="V611" s="4"/>
      <c r="W611" s="4"/>
      <c r="X611" s="4"/>
      <c r="Y611" s="4"/>
      <c r="Z611" s="4"/>
      <c r="AA611" s="4"/>
      <c r="AB611" s="4"/>
    </row>
    <row r="612" spans="1:28" ht="13.5" customHeight="1">
      <c r="A612" s="4"/>
      <c r="B612" s="9"/>
      <c r="C612" s="9"/>
      <c r="D612" s="4"/>
      <c r="E612" s="4"/>
      <c r="F612" s="4"/>
      <c r="G612" s="4"/>
      <c r="H612" s="4"/>
      <c r="I612" s="4"/>
      <c r="J612" s="4"/>
      <c r="K612" s="4"/>
      <c r="L612" s="38"/>
      <c r="M612" s="4"/>
      <c r="N612" s="4"/>
      <c r="O612" s="4"/>
      <c r="P612" s="4"/>
      <c r="Q612" s="4"/>
      <c r="R612" s="4"/>
      <c r="S612" s="4"/>
      <c r="T612" s="4"/>
      <c r="U612" s="4"/>
      <c r="V612" s="4"/>
      <c r="W612" s="4"/>
      <c r="X612" s="4"/>
      <c r="Y612" s="4"/>
      <c r="Z612" s="4"/>
      <c r="AA612" s="4"/>
      <c r="AB612" s="4"/>
    </row>
    <row r="613" spans="1:28" ht="13.5" customHeight="1">
      <c r="A613" s="4"/>
      <c r="B613" s="9"/>
      <c r="C613" s="9"/>
      <c r="D613" s="4"/>
      <c r="E613" s="4"/>
      <c r="F613" s="4"/>
      <c r="G613" s="4"/>
      <c r="H613" s="4"/>
      <c r="I613" s="4"/>
      <c r="J613" s="4"/>
      <c r="K613" s="4"/>
      <c r="L613" s="38"/>
      <c r="M613" s="4"/>
      <c r="N613" s="4"/>
      <c r="O613" s="4"/>
      <c r="P613" s="4"/>
      <c r="Q613" s="4"/>
      <c r="R613" s="4"/>
      <c r="S613" s="4"/>
      <c r="T613" s="4"/>
      <c r="U613" s="4"/>
      <c r="V613" s="4"/>
      <c r="W613" s="4"/>
      <c r="X613" s="4"/>
      <c r="Y613" s="4"/>
      <c r="Z613" s="4"/>
      <c r="AA613" s="4"/>
      <c r="AB613" s="4"/>
    </row>
    <row r="614" spans="1:28" ht="13.5" customHeight="1">
      <c r="A614" s="4"/>
      <c r="B614" s="9"/>
      <c r="C614" s="9"/>
      <c r="D614" s="4"/>
      <c r="E614" s="4"/>
      <c r="F614" s="4"/>
      <c r="G614" s="4"/>
      <c r="H614" s="4"/>
      <c r="I614" s="4"/>
      <c r="J614" s="4"/>
      <c r="K614" s="4"/>
      <c r="L614" s="38"/>
      <c r="M614" s="4"/>
      <c r="N614" s="4"/>
      <c r="O614" s="4"/>
      <c r="P614" s="4"/>
      <c r="Q614" s="4"/>
      <c r="R614" s="4"/>
      <c r="S614" s="4"/>
      <c r="T614" s="4"/>
      <c r="U614" s="4"/>
      <c r="V614" s="4"/>
      <c r="W614" s="4"/>
      <c r="X614" s="4"/>
      <c r="Y614" s="4"/>
      <c r="Z614" s="4"/>
      <c r="AA614" s="4"/>
      <c r="AB614" s="4"/>
    </row>
    <row r="615" spans="1:28" ht="13.5" customHeight="1">
      <c r="A615" s="4"/>
      <c r="B615" s="9"/>
      <c r="C615" s="9"/>
      <c r="D615" s="4"/>
      <c r="E615" s="4"/>
      <c r="F615" s="4"/>
      <c r="G615" s="4"/>
      <c r="H615" s="4"/>
      <c r="I615" s="4"/>
      <c r="J615" s="4"/>
      <c r="K615" s="4"/>
      <c r="L615" s="38"/>
      <c r="M615" s="4"/>
      <c r="N615" s="4"/>
      <c r="O615" s="4"/>
      <c r="P615" s="4"/>
      <c r="Q615" s="4"/>
      <c r="R615" s="4"/>
      <c r="S615" s="4"/>
      <c r="T615" s="4"/>
      <c r="U615" s="4"/>
      <c r="V615" s="4"/>
      <c r="W615" s="4"/>
      <c r="X615" s="4"/>
      <c r="Y615" s="4"/>
      <c r="Z615" s="4"/>
      <c r="AA615" s="4"/>
      <c r="AB615" s="4"/>
    </row>
    <row r="616" spans="1:28" ht="13.5" customHeight="1">
      <c r="A616" s="4"/>
      <c r="B616" s="9"/>
      <c r="C616" s="9"/>
      <c r="D616" s="4"/>
      <c r="E616" s="4"/>
      <c r="F616" s="4"/>
      <c r="G616" s="4"/>
      <c r="H616" s="4"/>
      <c r="I616" s="4"/>
      <c r="J616" s="4"/>
      <c r="K616" s="4"/>
      <c r="L616" s="38"/>
      <c r="M616" s="4"/>
      <c r="N616" s="4"/>
      <c r="O616" s="4"/>
      <c r="P616" s="4"/>
      <c r="Q616" s="4"/>
      <c r="R616" s="4"/>
      <c r="S616" s="4"/>
      <c r="T616" s="4"/>
      <c r="U616" s="4"/>
      <c r="V616" s="4"/>
      <c r="W616" s="4"/>
      <c r="X616" s="4"/>
      <c r="Y616" s="4"/>
      <c r="Z616" s="4"/>
      <c r="AA616" s="4"/>
      <c r="AB616" s="4"/>
    </row>
    <row r="617" spans="1:28" ht="13.5" customHeight="1">
      <c r="A617" s="4"/>
      <c r="B617" s="9"/>
      <c r="C617" s="9"/>
      <c r="D617" s="4"/>
      <c r="E617" s="4"/>
      <c r="F617" s="4"/>
      <c r="G617" s="4"/>
      <c r="H617" s="4"/>
      <c r="I617" s="4"/>
      <c r="J617" s="4"/>
      <c r="K617" s="4"/>
      <c r="L617" s="38"/>
      <c r="M617" s="4"/>
      <c r="N617" s="4"/>
      <c r="O617" s="4"/>
      <c r="P617" s="4"/>
      <c r="Q617" s="4"/>
      <c r="R617" s="4"/>
      <c r="S617" s="4"/>
      <c r="T617" s="4"/>
      <c r="U617" s="4"/>
      <c r="V617" s="4"/>
      <c r="W617" s="4"/>
      <c r="X617" s="4"/>
      <c r="Y617" s="4"/>
      <c r="Z617" s="4"/>
      <c r="AA617" s="4"/>
      <c r="AB617" s="4"/>
    </row>
    <row r="618" spans="1:28" ht="13.5" customHeight="1">
      <c r="A618" s="4"/>
      <c r="B618" s="9"/>
      <c r="C618" s="9"/>
      <c r="D618" s="4"/>
      <c r="E618" s="4"/>
      <c r="F618" s="4"/>
      <c r="G618" s="4"/>
      <c r="H618" s="4"/>
      <c r="I618" s="4"/>
      <c r="J618" s="4"/>
      <c r="K618" s="4"/>
      <c r="L618" s="38"/>
      <c r="M618" s="4"/>
      <c r="N618" s="4"/>
      <c r="O618" s="4"/>
      <c r="P618" s="4"/>
      <c r="Q618" s="4"/>
      <c r="R618" s="4"/>
      <c r="S618" s="4"/>
      <c r="T618" s="4"/>
      <c r="U618" s="4"/>
      <c r="V618" s="4"/>
      <c r="W618" s="4"/>
      <c r="X618" s="4"/>
      <c r="Y618" s="4"/>
      <c r="Z618" s="4"/>
      <c r="AA618" s="4"/>
      <c r="AB618" s="4"/>
    </row>
    <row r="619" spans="1:28" ht="13.5" customHeight="1">
      <c r="A619" s="4"/>
      <c r="B619" s="9"/>
      <c r="C619" s="9"/>
      <c r="D619" s="4"/>
      <c r="E619" s="4"/>
      <c r="F619" s="4"/>
      <c r="G619" s="4"/>
      <c r="H619" s="4"/>
      <c r="I619" s="4"/>
      <c r="J619" s="4"/>
      <c r="K619" s="4"/>
      <c r="L619" s="38"/>
      <c r="M619" s="4"/>
      <c r="N619" s="4"/>
      <c r="O619" s="4"/>
      <c r="P619" s="4"/>
      <c r="Q619" s="4"/>
      <c r="R619" s="4"/>
      <c r="S619" s="4"/>
      <c r="T619" s="4"/>
      <c r="U619" s="4"/>
      <c r="V619" s="4"/>
      <c r="W619" s="4"/>
      <c r="X619" s="4"/>
      <c r="Y619" s="4"/>
      <c r="Z619" s="4"/>
      <c r="AA619" s="4"/>
      <c r="AB619" s="4"/>
    </row>
    <row r="620" spans="1:28" ht="13.5" customHeight="1">
      <c r="A620" s="4"/>
      <c r="B620" s="9"/>
      <c r="C620" s="9"/>
      <c r="D620" s="4"/>
      <c r="E620" s="4"/>
      <c r="F620" s="4"/>
      <c r="G620" s="4"/>
      <c r="H620" s="4"/>
      <c r="I620" s="4"/>
      <c r="J620" s="4"/>
      <c r="K620" s="4"/>
      <c r="L620" s="38"/>
      <c r="M620" s="4"/>
      <c r="N620" s="4"/>
      <c r="O620" s="4"/>
      <c r="P620" s="4"/>
      <c r="Q620" s="4"/>
      <c r="R620" s="4"/>
      <c r="S620" s="4"/>
      <c r="T620" s="4"/>
      <c r="U620" s="4"/>
      <c r="V620" s="4"/>
      <c r="W620" s="4"/>
      <c r="X620" s="4"/>
      <c r="Y620" s="4"/>
      <c r="Z620" s="4"/>
      <c r="AA620" s="4"/>
      <c r="AB620" s="4"/>
    </row>
    <row r="621" spans="1:28" ht="13.5" customHeight="1">
      <c r="A621" s="4"/>
      <c r="B621" s="9"/>
      <c r="C621" s="9"/>
      <c r="D621" s="4"/>
      <c r="E621" s="4"/>
      <c r="F621" s="4"/>
      <c r="G621" s="4"/>
      <c r="H621" s="4"/>
      <c r="I621" s="4"/>
      <c r="J621" s="4"/>
      <c r="K621" s="4"/>
      <c r="L621" s="38"/>
      <c r="M621" s="4"/>
      <c r="N621" s="4"/>
      <c r="O621" s="4"/>
      <c r="P621" s="4"/>
      <c r="Q621" s="4"/>
      <c r="R621" s="4"/>
      <c r="S621" s="4"/>
      <c r="T621" s="4"/>
      <c r="U621" s="4"/>
      <c r="V621" s="4"/>
      <c r="W621" s="4"/>
      <c r="X621" s="4"/>
      <c r="Y621" s="4"/>
      <c r="Z621" s="4"/>
      <c r="AA621" s="4"/>
      <c r="AB621" s="4"/>
    </row>
    <row r="622" spans="1:28" ht="13.5" customHeight="1">
      <c r="A622" s="4"/>
      <c r="B622" s="9"/>
      <c r="C622" s="9"/>
      <c r="D622" s="4"/>
      <c r="E622" s="4"/>
      <c r="F622" s="4"/>
      <c r="G622" s="4"/>
      <c r="H622" s="4"/>
      <c r="I622" s="4"/>
      <c r="J622" s="4"/>
      <c r="K622" s="4"/>
      <c r="L622" s="38"/>
      <c r="M622" s="4"/>
      <c r="N622" s="4"/>
      <c r="O622" s="4"/>
      <c r="P622" s="4"/>
      <c r="Q622" s="4"/>
      <c r="R622" s="4"/>
      <c r="S622" s="4"/>
      <c r="T622" s="4"/>
      <c r="U622" s="4"/>
      <c r="V622" s="4"/>
      <c r="W622" s="4"/>
      <c r="X622" s="4"/>
      <c r="Y622" s="4"/>
      <c r="Z622" s="4"/>
      <c r="AA622" s="4"/>
      <c r="AB622" s="4"/>
    </row>
    <row r="623" spans="1:28" ht="13.5" customHeight="1">
      <c r="A623" s="4"/>
      <c r="B623" s="9"/>
      <c r="C623" s="9"/>
      <c r="D623" s="4"/>
      <c r="E623" s="4"/>
      <c r="F623" s="4"/>
      <c r="G623" s="4"/>
      <c r="H623" s="4"/>
      <c r="I623" s="4"/>
      <c r="J623" s="4"/>
      <c r="K623" s="4"/>
      <c r="L623" s="38"/>
      <c r="M623" s="4"/>
      <c r="N623" s="4"/>
      <c r="O623" s="4"/>
      <c r="P623" s="4"/>
      <c r="Q623" s="4"/>
      <c r="R623" s="4"/>
      <c r="S623" s="4"/>
      <c r="T623" s="4"/>
      <c r="U623" s="4"/>
      <c r="V623" s="4"/>
      <c r="W623" s="4"/>
      <c r="X623" s="4"/>
      <c r="Y623" s="4"/>
      <c r="Z623" s="4"/>
      <c r="AA623" s="4"/>
      <c r="AB623" s="4"/>
    </row>
    <row r="624" spans="1:28" ht="13.5" customHeight="1">
      <c r="A624" s="4"/>
      <c r="B624" s="9"/>
      <c r="C624" s="9"/>
      <c r="D624" s="4"/>
      <c r="E624" s="4"/>
      <c r="F624" s="4"/>
      <c r="G624" s="4"/>
      <c r="H624" s="4"/>
      <c r="I624" s="4"/>
      <c r="J624" s="4"/>
      <c r="K624" s="4"/>
      <c r="L624" s="38"/>
      <c r="M624" s="4"/>
      <c r="N624" s="4"/>
      <c r="O624" s="4"/>
      <c r="P624" s="4"/>
      <c r="Q624" s="4"/>
      <c r="R624" s="4"/>
      <c r="S624" s="4"/>
      <c r="T624" s="4"/>
      <c r="U624" s="4"/>
      <c r="V624" s="4"/>
      <c r="W624" s="4"/>
      <c r="X624" s="4"/>
      <c r="Y624" s="4"/>
      <c r="Z624" s="4"/>
      <c r="AA624" s="4"/>
      <c r="AB624" s="4"/>
    </row>
    <row r="625" spans="1:28" ht="13.5" customHeight="1">
      <c r="A625" s="4"/>
      <c r="B625" s="9"/>
      <c r="C625" s="9"/>
      <c r="D625" s="4"/>
      <c r="E625" s="4"/>
      <c r="F625" s="4"/>
      <c r="G625" s="4"/>
      <c r="H625" s="4"/>
      <c r="I625" s="4"/>
      <c r="J625" s="4"/>
      <c r="K625" s="4"/>
      <c r="L625" s="38"/>
      <c r="M625" s="4"/>
      <c r="N625" s="4"/>
      <c r="O625" s="4"/>
      <c r="P625" s="4"/>
      <c r="Q625" s="4"/>
      <c r="R625" s="4"/>
      <c r="S625" s="4"/>
      <c r="T625" s="4"/>
      <c r="U625" s="4"/>
      <c r="V625" s="4"/>
      <c r="W625" s="4"/>
      <c r="X625" s="4"/>
      <c r="Y625" s="4"/>
      <c r="Z625" s="4"/>
      <c r="AA625" s="4"/>
      <c r="AB625" s="4"/>
    </row>
    <row r="626" spans="1:28" ht="13.5" customHeight="1">
      <c r="A626" s="4"/>
      <c r="B626" s="9"/>
      <c r="C626" s="9"/>
      <c r="D626" s="4"/>
      <c r="E626" s="4"/>
      <c r="F626" s="4"/>
      <c r="G626" s="4"/>
      <c r="H626" s="4"/>
      <c r="I626" s="4"/>
      <c r="J626" s="4"/>
      <c r="K626" s="4"/>
      <c r="L626" s="38"/>
      <c r="M626" s="4"/>
      <c r="N626" s="4"/>
      <c r="O626" s="4"/>
      <c r="P626" s="4"/>
      <c r="Q626" s="4"/>
      <c r="R626" s="4"/>
      <c r="S626" s="4"/>
      <c r="T626" s="4"/>
      <c r="U626" s="4"/>
      <c r="V626" s="4"/>
      <c r="W626" s="4"/>
      <c r="X626" s="4"/>
      <c r="Y626" s="4"/>
      <c r="Z626" s="4"/>
      <c r="AA626" s="4"/>
      <c r="AB626" s="4"/>
    </row>
    <row r="627" spans="1:28" ht="13.5" customHeight="1">
      <c r="A627" s="4"/>
      <c r="B627" s="9"/>
      <c r="C627" s="9"/>
      <c r="D627" s="4"/>
      <c r="E627" s="4"/>
      <c r="F627" s="4"/>
      <c r="G627" s="4"/>
      <c r="H627" s="4"/>
      <c r="I627" s="4"/>
      <c r="J627" s="4"/>
      <c r="K627" s="4"/>
      <c r="L627" s="38"/>
      <c r="M627" s="4"/>
      <c r="N627" s="4"/>
      <c r="O627" s="4"/>
      <c r="P627" s="4"/>
      <c r="Q627" s="4"/>
      <c r="R627" s="4"/>
      <c r="S627" s="4"/>
      <c r="T627" s="4"/>
      <c r="U627" s="4"/>
      <c r="V627" s="4"/>
      <c r="W627" s="4"/>
      <c r="X627" s="4"/>
      <c r="Y627" s="4"/>
      <c r="Z627" s="4"/>
      <c r="AA627" s="4"/>
      <c r="AB627" s="4"/>
    </row>
    <row r="628" spans="1:28" ht="13.5" customHeight="1">
      <c r="A628" s="4"/>
      <c r="B628" s="9"/>
      <c r="C628" s="9"/>
      <c r="D628" s="4"/>
      <c r="E628" s="4"/>
      <c r="F628" s="4"/>
      <c r="G628" s="4"/>
      <c r="H628" s="4"/>
      <c r="I628" s="4"/>
      <c r="J628" s="4"/>
      <c r="K628" s="4"/>
      <c r="L628" s="38"/>
      <c r="M628" s="4"/>
      <c r="N628" s="4"/>
      <c r="O628" s="4"/>
      <c r="P628" s="4"/>
      <c r="Q628" s="4"/>
      <c r="R628" s="4"/>
      <c r="S628" s="4"/>
      <c r="T628" s="4"/>
      <c r="U628" s="4"/>
      <c r="V628" s="4"/>
      <c r="W628" s="4"/>
      <c r="X628" s="4"/>
      <c r="Y628" s="4"/>
      <c r="Z628" s="4"/>
      <c r="AA628" s="4"/>
      <c r="AB628" s="4"/>
    </row>
    <row r="629" spans="1:28" ht="13.5" customHeight="1">
      <c r="A629" s="4"/>
      <c r="B629" s="9"/>
      <c r="C629" s="9"/>
      <c r="D629" s="4"/>
      <c r="E629" s="4"/>
      <c r="F629" s="4"/>
      <c r="G629" s="4"/>
      <c r="H629" s="4"/>
      <c r="I629" s="4"/>
      <c r="J629" s="4"/>
      <c r="K629" s="4"/>
      <c r="L629" s="38"/>
      <c r="M629" s="4"/>
      <c r="N629" s="4"/>
      <c r="O629" s="4"/>
      <c r="P629" s="4"/>
      <c r="Q629" s="4"/>
      <c r="R629" s="4"/>
      <c r="S629" s="4"/>
      <c r="T629" s="4"/>
      <c r="U629" s="4"/>
      <c r="V629" s="4"/>
      <c r="W629" s="4"/>
      <c r="X629" s="4"/>
      <c r="Y629" s="4"/>
      <c r="Z629" s="4"/>
      <c r="AA629" s="4"/>
      <c r="AB629" s="4"/>
    </row>
    <row r="630" spans="1:28" ht="13.5" customHeight="1">
      <c r="A630" s="4"/>
      <c r="B630" s="9"/>
      <c r="C630" s="9"/>
      <c r="D630" s="4"/>
      <c r="E630" s="4"/>
      <c r="F630" s="4"/>
      <c r="G630" s="4"/>
      <c r="H630" s="4"/>
      <c r="I630" s="4"/>
      <c r="J630" s="4"/>
      <c r="K630" s="4"/>
      <c r="L630" s="38"/>
      <c r="M630" s="4"/>
      <c r="N630" s="4"/>
      <c r="O630" s="4"/>
      <c r="P630" s="4"/>
      <c r="Q630" s="4"/>
      <c r="R630" s="4"/>
      <c r="S630" s="4"/>
      <c r="T630" s="4"/>
      <c r="U630" s="4"/>
      <c r="V630" s="4"/>
      <c r="W630" s="4"/>
      <c r="X630" s="4"/>
      <c r="Y630" s="4"/>
      <c r="Z630" s="4"/>
      <c r="AA630" s="4"/>
      <c r="AB630" s="4"/>
    </row>
    <row r="631" spans="1:28" ht="13.5" customHeight="1">
      <c r="A631" s="4"/>
      <c r="B631" s="9"/>
      <c r="C631" s="9"/>
      <c r="D631" s="4"/>
      <c r="E631" s="4"/>
      <c r="F631" s="4"/>
      <c r="G631" s="4"/>
      <c r="H631" s="4"/>
      <c r="I631" s="4"/>
      <c r="J631" s="4"/>
      <c r="K631" s="4"/>
      <c r="L631" s="38"/>
      <c r="M631" s="4"/>
      <c r="N631" s="4"/>
      <c r="O631" s="4"/>
      <c r="P631" s="4"/>
      <c r="Q631" s="4"/>
      <c r="R631" s="4"/>
      <c r="S631" s="4"/>
      <c r="T631" s="4"/>
      <c r="U631" s="4"/>
      <c r="V631" s="4"/>
      <c r="W631" s="4"/>
      <c r="X631" s="4"/>
      <c r="Y631" s="4"/>
      <c r="Z631" s="4"/>
      <c r="AA631" s="4"/>
      <c r="AB631" s="4"/>
    </row>
    <row r="632" spans="1:28" ht="13.5" customHeight="1">
      <c r="A632" s="4"/>
      <c r="B632" s="9"/>
      <c r="C632" s="9"/>
      <c r="D632" s="4"/>
      <c r="E632" s="4"/>
      <c r="F632" s="4"/>
      <c r="G632" s="4"/>
      <c r="H632" s="4"/>
      <c r="I632" s="4"/>
      <c r="J632" s="4"/>
      <c r="K632" s="4"/>
      <c r="L632" s="38"/>
      <c r="M632" s="4"/>
      <c r="N632" s="4"/>
      <c r="O632" s="4"/>
      <c r="P632" s="4"/>
      <c r="Q632" s="4"/>
      <c r="R632" s="4"/>
      <c r="S632" s="4"/>
      <c r="T632" s="4"/>
      <c r="U632" s="4"/>
      <c r="V632" s="4"/>
      <c r="W632" s="4"/>
      <c r="X632" s="4"/>
      <c r="Y632" s="4"/>
      <c r="Z632" s="4"/>
      <c r="AA632" s="4"/>
      <c r="AB632" s="4"/>
    </row>
    <row r="633" spans="1:28" ht="13.5" customHeight="1">
      <c r="A633" s="4"/>
      <c r="B633" s="9"/>
      <c r="C633" s="9"/>
      <c r="D633" s="4"/>
      <c r="E633" s="4"/>
      <c r="F633" s="4"/>
      <c r="G633" s="4"/>
      <c r="H633" s="4"/>
      <c r="I633" s="4"/>
      <c r="J633" s="4"/>
      <c r="K633" s="4"/>
      <c r="L633" s="38"/>
      <c r="M633" s="4"/>
      <c r="N633" s="4"/>
      <c r="O633" s="4"/>
      <c r="P633" s="4"/>
      <c r="Q633" s="4"/>
      <c r="R633" s="4"/>
      <c r="S633" s="4"/>
      <c r="T633" s="4"/>
      <c r="U633" s="4"/>
      <c r="V633" s="4"/>
      <c r="W633" s="4"/>
      <c r="X633" s="4"/>
      <c r="Y633" s="4"/>
      <c r="Z633" s="4"/>
      <c r="AA633" s="4"/>
      <c r="AB633" s="4"/>
    </row>
    <row r="634" spans="1:28" ht="13.5" customHeight="1">
      <c r="A634" s="4"/>
      <c r="B634" s="9"/>
      <c r="C634" s="9"/>
      <c r="D634" s="4"/>
      <c r="E634" s="4"/>
      <c r="F634" s="4"/>
      <c r="G634" s="4"/>
      <c r="H634" s="4"/>
      <c r="I634" s="4"/>
      <c r="J634" s="4"/>
      <c r="K634" s="4"/>
      <c r="L634" s="38"/>
      <c r="M634" s="4"/>
      <c r="N634" s="4"/>
      <c r="O634" s="4"/>
      <c r="P634" s="4"/>
      <c r="Q634" s="4"/>
      <c r="R634" s="4"/>
      <c r="S634" s="4"/>
      <c r="T634" s="4"/>
      <c r="U634" s="4"/>
      <c r="V634" s="4"/>
      <c r="W634" s="4"/>
      <c r="X634" s="4"/>
      <c r="Y634" s="4"/>
      <c r="Z634" s="4"/>
      <c r="AA634" s="4"/>
      <c r="AB634" s="4"/>
    </row>
    <row r="635" spans="1:28" ht="13.5" customHeight="1">
      <c r="A635" s="4"/>
      <c r="B635" s="9"/>
      <c r="C635" s="9"/>
      <c r="D635" s="4"/>
      <c r="E635" s="4"/>
      <c r="F635" s="4"/>
      <c r="G635" s="4"/>
      <c r="H635" s="4"/>
      <c r="I635" s="4"/>
      <c r="J635" s="4"/>
      <c r="K635" s="4"/>
      <c r="L635" s="38"/>
      <c r="M635" s="4"/>
      <c r="N635" s="4"/>
      <c r="O635" s="4"/>
      <c r="P635" s="4"/>
      <c r="Q635" s="4"/>
      <c r="R635" s="4"/>
      <c r="S635" s="4"/>
      <c r="T635" s="4"/>
      <c r="U635" s="4"/>
      <c r="V635" s="4"/>
      <c r="W635" s="4"/>
      <c r="X635" s="4"/>
      <c r="Y635" s="4"/>
      <c r="Z635" s="4"/>
      <c r="AA635" s="4"/>
      <c r="AB635" s="4"/>
    </row>
    <row r="636" spans="1:28" ht="13.5" customHeight="1">
      <c r="A636" s="4"/>
      <c r="B636" s="9"/>
      <c r="C636" s="9"/>
      <c r="D636" s="4"/>
      <c r="E636" s="4"/>
      <c r="F636" s="4"/>
      <c r="G636" s="4"/>
      <c r="H636" s="4"/>
      <c r="I636" s="4"/>
      <c r="J636" s="4"/>
      <c r="K636" s="4"/>
      <c r="L636" s="38"/>
      <c r="M636" s="4"/>
      <c r="N636" s="4"/>
      <c r="O636" s="4"/>
      <c r="P636" s="4"/>
      <c r="Q636" s="4"/>
      <c r="R636" s="4"/>
      <c r="S636" s="4"/>
      <c r="T636" s="4"/>
      <c r="U636" s="4"/>
      <c r="V636" s="4"/>
      <c r="W636" s="4"/>
      <c r="X636" s="4"/>
      <c r="Y636" s="4"/>
      <c r="Z636" s="4"/>
      <c r="AA636" s="4"/>
      <c r="AB636" s="4"/>
    </row>
    <row r="637" spans="1:28" ht="13.5" customHeight="1">
      <c r="A637" s="4"/>
      <c r="B637" s="9"/>
      <c r="C637" s="9"/>
      <c r="D637" s="4"/>
      <c r="E637" s="4"/>
      <c r="F637" s="4"/>
      <c r="G637" s="4"/>
      <c r="H637" s="4"/>
      <c r="I637" s="4"/>
      <c r="J637" s="4"/>
      <c r="K637" s="4"/>
      <c r="L637" s="38"/>
      <c r="M637" s="4"/>
      <c r="N637" s="4"/>
      <c r="O637" s="4"/>
      <c r="P637" s="4"/>
      <c r="Q637" s="4"/>
      <c r="R637" s="4"/>
      <c r="S637" s="4"/>
      <c r="T637" s="4"/>
      <c r="U637" s="4"/>
      <c r="V637" s="4"/>
      <c r="W637" s="4"/>
      <c r="X637" s="4"/>
      <c r="Y637" s="4"/>
      <c r="Z637" s="4"/>
      <c r="AA637" s="4"/>
      <c r="AB637" s="4"/>
    </row>
    <row r="638" spans="1:28" ht="13.5" customHeight="1">
      <c r="A638" s="4"/>
      <c r="B638" s="9"/>
      <c r="C638" s="9"/>
      <c r="D638" s="4"/>
      <c r="E638" s="4"/>
      <c r="F638" s="4"/>
      <c r="G638" s="4"/>
      <c r="H638" s="4"/>
      <c r="I638" s="4"/>
      <c r="J638" s="4"/>
      <c r="K638" s="4"/>
      <c r="L638" s="38"/>
      <c r="M638" s="4"/>
      <c r="N638" s="4"/>
      <c r="O638" s="4"/>
      <c r="P638" s="4"/>
      <c r="Q638" s="4"/>
      <c r="R638" s="4"/>
      <c r="S638" s="4"/>
      <c r="T638" s="4"/>
      <c r="U638" s="4"/>
      <c r="V638" s="4"/>
      <c r="W638" s="4"/>
      <c r="X638" s="4"/>
      <c r="Y638" s="4"/>
      <c r="Z638" s="4"/>
      <c r="AA638" s="4"/>
      <c r="AB638" s="4"/>
    </row>
    <row r="639" spans="1:28" ht="13.5" customHeight="1">
      <c r="A639" s="4"/>
      <c r="B639" s="9"/>
      <c r="C639" s="9"/>
      <c r="D639" s="4"/>
      <c r="E639" s="4"/>
      <c r="F639" s="4"/>
      <c r="G639" s="4"/>
      <c r="H639" s="4"/>
      <c r="I639" s="4"/>
      <c r="J639" s="4"/>
      <c r="K639" s="4"/>
      <c r="L639" s="38"/>
      <c r="M639" s="4"/>
      <c r="N639" s="4"/>
      <c r="O639" s="4"/>
      <c r="P639" s="4"/>
      <c r="Q639" s="4"/>
      <c r="R639" s="4"/>
      <c r="S639" s="4"/>
      <c r="T639" s="4"/>
      <c r="U639" s="4"/>
      <c r="V639" s="4"/>
      <c r="W639" s="4"/>
      <c r="X639" s="4"/>
      <c r="Y639" s="4"/>
      <c r="Z639" s="4"/>
      <c r="AA639" s="4"/>
      <c r="AB639" s="4"/>
    </row>
    <row r="640" spans="1:28" ht="13.5" customHeight="1">
      <c r="A640" s="4"/>
      <c r="B640" s="9"/>
      <c r="C640" s="9"/>
      <c r="D640" s="4"/>
      <c r="E640" s="4"/>
      <c r="F640" s="4"/>
      <c r="G640" s="4"/>
      <c r="H640" s="4"/>
      <c r="I640" s="4"/>
      <c r="J640" s="4"/>
      <c r="K640" s="4"/>
      <c r="L640" s="38"/>
      <c r="M640" s="4"/>
      <c r="N640" s="4"/>
      <c r="O640" s="4"/>
      <c r="P640" s="4"/>
      <c r="Q640" s="4"/>
      <c r="R640" s="4"/>
      <c r="S640" s="4"/>
      <c r="T640" s="4"/>
      <c r="U640" s="4"/>
      <c r="V640" s="4"/>
      <c r="W640" s="4"/>
      <c r="X640" s="4"/>
      <c r="Y640" s="4"/>
      <c r="Z640" s="4"/>
      <c r="AA640" s="4"/>
      <c r="AB640" s="4"/>
    </row>
    <row r="641" spans="1:28" ht="13.5" customHeight="1">
      <c r="A641" s="4"/>
      <c r="B641" s="9"/>
      <c r="C641" s="9"/>
      <c r="D641" s="4"/>
      <c r="E641" s="4"/>
      <c r="F641" s="4"/>
      <c r="G641" s="4"/>
      <c r="H641" s="4"/>
      <c r="I641" s="4"/>
      <c r="J641" s="4"/>
      <c r="K641" s="4"/>
      <c r="L641" s="38"/>
      <c r="M641" s="4"/>
      <c r="N641" s="4"/>
      <c r="O641" s="4"/>
      <c r="P641" s="4"/>
      <c r="Q641" s="4"/>
      <c r="R641" s="4"/>
      <c r="S641" s="4"/>
      <c r="T641" s="4"/>
      <c r="U641" s="4"/>
      <c r="V641" s="4"/>
      <c r="W641" s="4"/>
      <c r="X641" s="4"/>
      <c r="Y641" s="4"/>
      <c r="Z641" s="4"/>
      <c r="AA641" s="4"/>
      <c r="AB641" s="4"/>
    </row>
    <row r="642" spans="1:28" ht="13.5" customHeight="1">
      <c r="A642" s="4"/>
      <c r="B642" s="9"/>
      <c r="C642" s="9"/>
      <c r="D642" s="4"/>
      <c r="E642" s="4"/>
      <c r="F642" s="4"/>
      <c r="G642" s="4"/>
      <c r="H642" s="4"/>
      <c r="I642" s="4"/>
      <c r="J642" s="4"/>
      <c r="K642" s="4"/>
      <c r="L642" s="38"/>
      <c r="M642" s="4"/>
      <c r="N642" s="4"/>
      <c r="O642" s="4"/>
      <c r="P642" s="4"/>
      <c r="Q642" s="4"/>
      <c r="R642" s="4"/>
      <c r="S642" s="4"/>
      <c r="T642" s="4"/>
      <c r="U642" s="4"/>
      <c r="V642" s="4"/>
      <c r="W642" s="4"/>
      <c r="X642" s="4"/>
      <c r="Y642" s="4"/>
      <c r="Z642" s="4"/>
      <c r="AA642" s="4"/>
      <c r="AB642" s="4"/>
    </row>
    <row r="643" spans="1:28" ht="13.5" customHeight="1">
      <c r="A643" s="4"/>
      <c r="B643" s="9"/>
      <c r="C643" s="9"/>
      <c r="D643" s="4"/>
      <c r="E643" s="4"/>
      <c r="F643" s="4"/>
      <c r="G643" s="4"/>
      <c r="H643" s="4"/>
      <c r="I643" s="4"/>
      <c r="J643" s="4"/>
      <c r="K643" s="4"/>
      <c r="L643" s="38"/>
      <c r="M643" s="4"/>
      <c r="N643" s="4"/>
      <c r="O643" s="4"/>
      <c r="P643" s="4"/>
      <c r="Q643" s="4"/>
      <c r="R643" s="4"/>
      <c r="S643" s="4"/>
      <c r="T643" s="4"/>
      <c r="U643" s="4"/>
      <c r="V643" s="4"/>
      <c r="W643" s="4"/>
      <c r="X643" s="4"/>
      <c r="Y643" s="4"/>
      <c r="Z643" s="4"/>
      <c r="AA643" s="4"/>
      <c r="AB643" s="4"/>
    </row>
    <row r="644" spans="1:28" ht="13.5" customHeight="1">
      <c r="A644" s="4"/>
      <c r="B644" s="9"/>
      <c r="C644" s="9"/>
      <c r="D644" s="4"/>
      <c r="E644" s="4"/>
      <c r="F644" s="4"/>
      <c r="G644" s="4"/>
      <c r="H644" s="4"/>
      <c r="I644" s="4"/>
      <c r="J644" s="4"/>
      <c r="K644" s="4"/>
      <c r="L644" s="38"/>
      <c r="M644" s="4"/>
      <c r="N644" s="4"/>
      <c r="O644" s="4"/>
      <c r="P644" s="4"/>
      <c r="Q644" s="4"/>
      <c r="R644" s="4"/>
      <c r="S644" s="4"/>
      <c r="T644" s="4"/>
      <c r="U644" s="4"/>
      <c r="V644" s="4"/>
      <c r="W644" s="4"/>
      <c r="X644" s="4"/>
      <c r="Y644" s="4"/>
      <c r="Z644" s="4"/>
      <c r="AA644" s="4"/>
      <c r="AB644" s="4"/>
    </row>
    <row r="645" spans="1:28" ht="13.5" customHeight="1">
      <c r="A645" s="4"/>
      <c r="B645" s="9"/>
      <c r="C645" s="9"/>
      <c r="D645" s="4"/>
      <c r="E645" s="4"/>
      <c r="F645" s="4"/>
      <c r="G645" s="4"/>
      <c r="H645" s="4"/>
      <c r="I645" s="4"/>
      <c r="J645" s="4"/>
      <c r="K645" s="4"/>
      <c r="L645" s="38"/>
      <c r="M645" s="4"/>
      <c r="N645" s="4"/>
      <c r="O645" s="4"/>
      <c r="P645" s="4"/>
      <c r="Q645" s="4"/>
      <c r="R645" s="4"/>
      <c r="S645" s="4"/>
      <c r="T645" s="4"/>
      <c r="U645" s="4"/>
      <c r="V645" s="4"/>
      <c r="W645" s="4"/>
      <c r="X645" s="4"/>
      <c r="Y645" s="4"/>
      <c r="Z645" s="4"/>
      <c r="AA645" s="4"/>
      <c r="AB645" s="4"/>
    </row>
    <row r="646" spans="1:28" ht="13.5" customHeight="1">
      <c r="A646" s="4"/>
      <c r="B646" s="9"/>
      <c r="C646" s="9"/>
      <c r="D646" s="4"/>
      <c r="E646" s="4"/>
      <c r="F646" s="4"/>
      <c r="G646" s="4"/>
      <c r="H646" s="4"/>
      <c r="I646" s="4"/>
      <c r="J646" s="4"/>
      <c r="K646" s="4"/>
      <c r="L646" s="38"/>
      <c r="M646" s="4"/>
      <c r="N646" s="4"/>
      <c r="O646" s="4"/>
      <c r="P646" s="4"/>
      <c r="Q646" s="4"/>
      <c r="R646" s="4"/>
      <c r="S646" s="4"/>
      <c r="T646" s="4"/>
      <c r="U646" s="4"/>
      <c r="V646" s="4"/>
      <c r="W646" s="4"/>
      <c r="X646" s="4"/>
      <c r="Y646" s="4"/>
      <c r="Z646" s="4"/>
      <c r="AA646" s="4"/>
      <c r="AB646" s="4"/>
    </row>
    <row r="647" spans="1:28" ht="13.5" customHeight="1">
      <c r="A647" s="4"/>
      <c r="B647" s="9"/>
      <c r="C647" s="9"/>
      <c r="D647" s="4"/>
      <c r="E647" s="4"/>
      <c r="F647" s="4"/>
      <c r="G647" s="4"/>
      <c r="H647" s="4"/>
      <c r="I647" s="4"/>
      <c r="J647" s="4"/>
      <c r="K647" s="4"/>
      <c r="L647" s="38"/>
      <c r="M647" s="4"/>
      <c r="N647" s="4"/>
      <c r="O647" s="4"/>
      <c r="P647" s="4"/>
      <c r="Q647" s="4"/>
      <c r="R647" s="4"/>
      <c r="S647" s="4"/>
      <c r="T647" s="4"/>
      <c r="U647" s="4"/>
      <c r="V647" s="4"/>
      <c r="W647" s="4"/>
      <c r="X647" s="4"/>
      <c r="Y647" s="4"/>
      <c r="Z647" s="4"/>
      <c r="AA647" s="4"/>
      <c r="AB647" s="4"/>
    </row>
    <row r="648" spans="1:28" ht="13.5" customHeight="1">
      <c r="A648" s="4"/>
      <c r="B648" s="9"/>
      <c r="C648" s="9"/>
      <c r="D648" s="4"/>
      <c r="E648" s="4"/>
      <c r="F648" s="4"/>
      <c r="G648" s="4"/>
      <c r="H648" s="4"/>
      <c r="I648" s="4"/>
      <c r="J648" s="4"/>
      <c r="K648" s="4"/>
      <c r="L648" s="38"/>
      <c r="M648" s="4"/>
      <c r="N648" s="4"/>
      <c r="O648" s="4"/>
      <c r="P648" s="4"/>
      <c r="Q648" s="4"/>
      <c r="R648" s="4"/>
      <c r="S648" s="4"/>
      <c r="T648" s="4"/>
      <c r="U648" s="4"/>
      <c r="V648" s="4"/>
      <c r="W648" s="4"/>
      <c r="X648" s="4"/>
      <c r="Y648" s="4"/>
      <c r="Z648" s="4"/>
      <c r="AA648" s="4"/>
      <c r="AB648" s="4"/>
    </row>
    <row r="649" spans="1:28" ht="13.5" customHeight="1">
      <c r="A649" s="4"/>
      <c r="B649" s="9"/>
      <c r="C649" s="9"/>
      <c r="D649" s="4"/>
      <c r="E649" s="4"/>
      <c r="F649" s="4"/>
      <c r="G649" s="4"/>
      <c r="H649" s="4"/>
      <c r="I649" s="4"/>
      <c r="J649" s="4"/>
      <c r="K649" s="4"/>
      <c r="L649" s="38"/>
      <c r="M649" s="4"/>
      <c r="N649" s="4"/>
      <c r="O649" s="4"/>
      <c r="P649" s="4"/>
      <c r="Q649" s="4"/>
      <c r="R649" s="4"/>
      <c r="S649" s="4"/>
      <c r="T649" s="4"/>
      <c r="U649" s="4"/>
      <c r="V649" s="4"/>
      <c r="W649" s="4"/>
      <c r="X649" s="4"/>
      <c r="Y649" s="4"/>
      <c r="Z649" s="4"/>
      <c r="AA649" s="4"/>
      <c r="AB649" s="4"/>
    </row>
    <row r="650" spans="1:28" ht="13.5" customHeight="1">
      <c r="A650" s="4"/>
      <c r="B650" s="9"/>
      <c r="C650" s="9"/>
      <c r="D650" s="4"/>
      <c r="E650" s="4"/>
      <c r="F650" s="4"/>
      <c r="G650" s="4"/>
      <c r="H650" s="4"/>
      <c r="I650" s="4"/>
      <c r="J650" s="4"/>
      <c r="K650" s="4"/>
      <c r="L650" s="38"/>
      <c r="M650" s="4"/>
      <c r="N650" s="4"/>
      <c r="O650" s="4"/>
      <c r="P650" s="4"/>
      <c r="Q650" s="4"/>
      <c r="R650" s="4"/>
      <c r="S650" s="4"/>
      <c r="T650" s="4"/>
      <c r="U650" s="4"/>
      <c r="V650" s="4"/>
      <c r="W650" s="4"/>
      <c r="X650" s="4"/>
      <c r="Y650" s="4"/>
      <c r="Z650" s="4"/>
      <c r="AA650" s="4"/>
      <c r="AB650" s="4"/>
    </row>
    <row r="651" spans="1:28" ht="13.5" customHeight="1">
      <c r="A651" s="4"/>
      <c r="B651" s="9"/>
      <c r="C651" s="9"/>
      <c r="D651" s="4"/>
      <c r="E651" s="4"/>
      <c r="F651" s="4"/>
      <c r="G651" s="4"/>
      <c r="H651" s="4"/>
      <c r="I651" s="4"/>
      <c r="J651" s="4"/>
      <c r="K651" s="4"/>
      <c r="L651" s="38"/>
      <c r="M651" s="4"/>
      <c r="N651" s="4"/>
      <c r="O651" s="4"/>
      <c r="P651" s="4"/>
      <c r="Q651" s="4"/>
      <c r="R651" s="4"/>
      <c r="S651" s="4"/>
      <c r="T651" s="4"/>
      <c r="U651" s="4"/>
      <c r="V651" s="4"/>
      <c r="W651" s="4"/>
      <c r="X651" s="4"/>
      <c r="Y651" s="4"/>
      <c r="Z651" s="4"/>
      <c r="AA651" s="4"/>
      <c r="AB651" s="4"/>
    </row>
    <row r="652" spans="1:28" ht="13.5" customHeight="1">
      <c r="A652" s="4"/>
      <c r="B652" s="9"/>
      <c r="C652" s="9"/>
      <c r="D652" s="4"/>
      <c r="E652" s="4"/>
      <c r="F652" s="4"/>
      <c r="G652" s="4"/>
      <c r="H652" s="4"/>
      <c r="I652" s="4"/>
      <c r="J652" s="4"/>
      <c r="K652" s="4"/>
      <c r="L652" s="38"/>
      <c r="M652" s="4"/>
      <c r="N652" s="4"/>
      <c r="O652" s="4"/>
      <c r="P652" s="4"/>
      <c r="Q652" s="4"/>
      <c r="R652" s="4"/>
      <c r="S652" s="4"/>
      <c r="T652" s="4"/>
      <c r="U652" s="4"/>
      <c r="V652" s="4"/>
      <c r="W652" s="4"/>
      <c r="X652" s="4"/>
      <c r="Y652" s="4"/>
      <c r="Z652" s="4"/>
      <c r="AA652" s="4"/>
      <c r="AB652" s="4"/>
    </row>
    <row r="653" spans="1:28" ht="13.5" customHeight="1">
      <c r="A653" s="4"/>
      <c r="B653" s="9"/>
      <c r="C653" s="9"/>
      <c r="D653" s="4"/>
      <c r="E653" s="4"/>
      <c r="F653" s="4"/>
      <c r="G653" s="4"/>
      <c r="H653" s="4"/>
      <c r="I653" s="4"/>
      <c r="J653" s="4"/>
      <c r="K653" s="4"/>
      <c r="L653" s="38"/>
      <c r="M653" s="4"/>
      <c r="N653" s="4"/>
      <c r="O653" s="4"/>
      <c r="P653" s="4"/>
      <c r="Q653" s="4"/>
      <c r="R653" s="4"/>
      <c r="S653" s="4"/>
      <c r="T653" s="4"/>
      <c r="U653" s="4"/>
      <c r="V653" s="4"/>
      <c r="W653" s="4"/>
      <c r="X653" s="4"/>
      <c r="Y653" s="4"/>
      <c r="Z653" s="4"/>
      <c r="AA653" s="4"/>
      <c r="AB653" s="4"/>
    </row>
    <row r="654" spans="1:28" ht="13.5" customHeight="1">
      <c r="A654" s="4"/>
      <c r="B654" s="9"/>
      <c r="C654" s="9"/>
      <c r="D654" s="4"/>
      <c r="E654" s="4"/>
      <c r="F654" s="4"/>
      <c r="G654" s="4"/>
      <c r="H654" s="4"/>
      <c r="I654" s="4"/>
      <c r="J654" s="4"/>
      <c r="K654" s="4"/>
      <c r="L654" s="38"/>
      <c r="M654" s="4"/>
      <c r="N654" s="4"/>
      <c r="O654" s="4"/>
      <c r="P654" s="4"/>
      <c r="Q654" s="4"/>
      <c r="R654" s="4"/>
      <c r="S654" s="4"/>
      <c r="T654" s="4"/>
      <c r="U654" s="4"/>
      <c r="V654" s="4"/>
      <c r="W654" s="4"/>
      <c r="X654" s="4"/>
      <c r="Y654" s="4"/>
      <c r="Z654" s="4"/>
      <c r="AA654" s="4"/>
      <c r="AB654" s="4"/>
    </row>
    <row r="655" spans="1:28" ht="13.5" customHeight="1">
      <c r="A655" s="4"/>
      <c r="B655" s="9"/>
      <c r="C655" s="9"/>
      <c r="D655" s="4"/>
      <c r="E655" s="4"/>
      <c r="F655" s="4"/>
      <c r="G655" s="4"/>
      <c r="H655" s="4"/>
      <c r="I655" s="4"/>
      <c r="J655" s="4"/>
      <c r="K655" s="4"/>
      <c r="L655" s="38"/>
      <c r="M655" s="4"/>
      <c r="N655" s="4"/>
      <c r="O655" s="4"/>
      <c r="P655" s="4"/>
      <c r="Q655" s="4"/>
      <c r="R655" s="4"/>
      <c r="S655" s="4"/>
      <c r="T655" s="4"/>
      <c r="U655" s="4"/>
      <c r="V655" s="4"/>
      <c r="W655" s="4"/>
      <c r="X655" s="4"/>
      <c r="Y655" s="4"/>
      <c r="Z655" s="4"/>
      <c r="AA655" s="4"/>
      <c r="AB655" s="4"/>
    </row>
    <row r="656" spans="1:28" ht="13.5" customHeight="1">
      <c r="A656" s="4"/>
      <c r="B656" s="9"/>
      <c r="C656" s="9"/>
      <c r="D656" s="4"/>
      <c r="E656" s="4"/>
      <c r="F656" s="4"/>
      <c r="G656" s="4"/>
      <c r="H656" s="4"/>
      <c r="I656" s="4"/>
      <c r="J656" s="4"/>
      <c r="K656" s="4"/>
      <c r="L656" s="38"/>
      <c r="M656" s="4"/>
      <c r="N656" s="4"/>
      <c r="O656" s="4"/>
      <c r="P656" s="4"/>
      <c r="Q656" s="4"/>
      <c r="R656" s="4"/>
      <c r="S656" s="4"/>
      <c r="T656" s="4"/>
      <c r="U656" s="4"/>
      <c r="V656" s="4"/>
      <c r="W656" s="4"/>
      <c r="X656" s="4"/>
      <c r="Y656" s="4"/>
      <c r="Z656" s="4"/>
      <c r="AA656" s="4"/>
      <c r="AB656" s="4"/>
    </row>
    <row r="657" spans="1:28" ht="13.5" customHeight="1">
      <c r="A657" s="4"/>
      <c r="B657" s="9"/>
      <c r="C657" s="9"/>
      <c r="D657" s="4"/>
      <c r="E657" s="4"/>
      <c r="F657" s="4"/>
      <c r="G657" s="4"/>
      <c r="H657" s="4"/>
      <c r="I657" s="4"/>
      <c r="J657" s="4"/>
      <c r="K657" s="4"/>
      <c r="L657" s="38"/>
      <c r="M657" s="4"/>
      <c r="N657" s="4"/>
      <c r="O657" s="4"/>
      <c r="P657" s="4"/>
      <c r="Q657" s="4"/>
      <c r="R657" s="4"/>
      <c r="S657" s="4"/>
      <c r="T657" s="4"/>
      <c r="U657" s="4"/>
      <c r="V657" s="4"/>
      <c r="W657" s="4"/>
      <c r="X657" s="4"/>
      <c r="Y657" s="4"/>
      <c r="Z657" s="4"/>
      <c r="AA657" s="4"/>
      <c r="AB657" s="4"/>
    </row>
    <row r="658" spans="1:28" ht="13.5" customHeight="1">
      <c r="A658" s="4"/>
      <c r="B658" s="9"/>
      <c r="C658" s="9"/>
      <c r="D658" s="4"/>
      <c r="E658" s="4"/>
      <c r="F658" s="4"/>
      <c r="G658" s="4"/>
      <c r="H658" s="4"/>
      <c r="I658" s="4"/>
      <c r="J658" s="4"/>
      <c r="K658" s="4"/>
      <c r="L658" s="38"/>
      <c r="M658" s="4"/>
      <c r="N658" s="4"/>
      <c r="O658" s="4"/>
      <c r="P658" s="4"/>
      <c r="Q658" s="4"/>
      <c r="R658" s="4"/>
      <c r="S658" s="4"/>
      <c r="T658" s="4"/>
      <c r="U658" s="4"/>
      <c r="V658" s="4"/>
      <c r="W658" s="4"/>
      <c r="X658" s="4"/>
      <c r="Y658" s="4"/>
      <c r="Z658" s="4"/>
      <c r="AA658" s="4"/>
      <c r="AB658" s="4"/>
    </row>
    <row r="659" spans="1:28" ht="13.5" customHeight="1">
      <c r="A659" s="4"/>
      <c r="B659" s="9"/>
      <c r="C659" s="9"/>
      <c r="D659" s="4"/>
      <c r="E659" s="4"/>
      <c r="F659" s="4"/>
      <c r="G659" s="4"/>
      <c r="H659" s="4"/>
      <c r="I659" s="4"/>
      <c r="J659" s="4"/>
      <c r="K659" s="4"/>
      <c r="L659" s="38"/>
      <c r="M659" s="4"/>
      <c r="N659" s="4"/>
      <c r="O659" s="4"/>
      <c r="P659" s="4"/>
      <c r="Q659" s="4"/>
      <c r="R659" s="4"/>
      <c r="S659" s="4"/>
      <c r="T659" s="4"/>
      <c r="U659" s="4"/>
      <c r="V659" s="4"/>
      <c r="W659" s="4"/>
      <c r="X659" s="4"/>
      <c r="Y659" s="4"/>
      <c r="Z659" s="4"/>
      <c r="AA659" s="4"/>
      <c r="AB659" s="4"/>
    </row>
    <row r="660" spans="1:28" ht="13.5" customHeight="1">
      <c r="A660" s="4"/>
      <c r="B660" s="9"/>
      <c r="C660" s="9"/>
      <c r="D660" s="4"/>
      <c r="E660" s="4"/>
      <c r="F660" s="4"/>
      <c r="G660" s="4"/>
      <c r="H660" s="4"/>
      <c r="I660" s="4"/>
      <c r="J660" s="4"/>
      <c r="K660" s="4"/>
      <c r="L660" s="38"/>
      <c r="M660" s="4"/>
      <c r="N660" s="4"/>
      <c r="O660" s="4"/>
      <c r="P660" s="4"/>
      <c r="Q660" s="4"/>
      <c r="R660" s="4"/>
      <c r="S660" s="4"/>
      <c r="T660" s="4"/>
      <c r="U660" s="4"/>
      <c r="V660" s="4"/>
      <c r="W660" s="4"/>
      <c r="X660" s="4"/>
      <c r="Y660" s="4"/>
      <c r="Z660" s="4"/>
      <c r="AA660" s="4"/>
      <c r="AB660" s="4"/>
    </row>
    <row r="661" spans="1:28" ht="13.5" customHeight="1">
      <c r="A661" s="4"/>
      <c r="B661" s="9"/>
      <c r="C661" s="9"/>
      <c r="D661" s="4"/>
      <c r="E661" s="4"/>
      <c r="F661" s="4"/>
      <c r="G661" s="4"/>
      <c r="H661" s="4"/>
      <c r="I661" s="4"/>
      <c r="J661" s="4"/>
      <c r="K661" s="4"/>
      <c r="L661" s="38"/>
      <c r="M661" s="4"/>
      <c r="N661" s="4"/>
      <c r="O661" s="4"/>
      <c r="P661" s="4"/>
      <c r="Q661" s="4"/>
      <c r="R661" s="4"/>
      <c r="S661" s="4"/>
      <c r="T661" s="4"/>
      <c r="U661" s="4"/>
      <c r="V661" s="4"/>
      <c r="W661" s="4"/>
      <c r="X661" s="4"/>
      <c r="Y661" s="4"/>
      <c r="Z661" s="4"/>
      <c r="AA661" s="4"/>
      <c r="AB661" s="4"/>
    </row>
    <row r="662" spans="1:28" ht="13.5" customHeight="1">
      <c r="A662" s="4"/>
      <c r="B662" s="9"/>
      <c r="C662" s="9"/>
      <c r="D662" s="4"/>
      <c r="E662" s="4"/>
      <c r="F662" s="4"/>
      <c r="G662" s="4"/>
      <c r="H662" s="4"/>
      <c r="I662" s="4"/>
      <c r="J662" s="4"/>
      <c r="K662" s="4"/>
      <c r="L662" s="38"/>
      <c r="M662" s="4"/>
      <c r="N662" s="4"/>
      <c r="O662" s="4"/>
      <c r="P662" s="4"/>
      <c r="Q662" s="4"/>
      <c r="R662" s="4"/>
      <c r="S662" s="4"/>
      <c r="T662" s="4"/>
      <c r="U662" s="4"/>
      <c r="V662" s="4"/>
      <c r="W662" s="4"/>
      <c r="X662" s="4"/>
      <c r="Y662" s="4"/>
      <c r="Z662" s="4"/>
      <c r="AA662" s="4"/>
      <c r="AB662" s="4"/>
    </row>
    <row r="663" spans="1:28" ht="13.5" customHeight="1">
      <c r="A663" s="4"/>
      <c r="B663" s="9"/>
      <c r="C663" s="9"/>
      <c r="D663" s="4"/>
      <c r="E663" s="4"/>
      <c r="F663" s="4"/>
      <c r="G663" s="4"/>
      <c r="H663" s="4"/>
      <c r="I663" s="4"/>
      <c r="J663" s="4"/>
      <c r="K663" s="4"/>
      <c r="L663" s="38"/>
      <c r="M663" s="4"/>
      <c r="N663" s="4"/>
      <c r="O663" s="4"/>
      <c r="P663" s="4"/>
      <c r="Q663" s="4"/>
      <c r="R663" s="4"/>
      <c r="S663" s="4"/>
      <c r="T663" s="4"/>
      <c r="U663" s="4"/>
      <c r="V663" s="4"/>
      <c r="W663" s="4"/>
      <c r="X663" s="4"/>
      <c r="Y663" s="4"/>
      <c r="Z663" s="4"/>
      <c r="AA663" s="4"/>
      <c r="AB663" s="4"/>
    </row>
    <row r="664" spans="1:28" ht="13.5" customHeight="1">
      <c r="A664" s="4"/>
      <c r="B664" s="9"/>
      <c r="C664" s="9"/>
      <c r="D664" s="4"/>
      <c r="E664" s="4"/>
      <c r="F664" s="4"/>
      <c r="G664" s="4"/>
      <c r="H664" s="4"/>
      <c r="I664" s="4"/>
      <c r="J664" s="4"/>
      <c r="K664" s="4"/>
      <c r="L664" s="38"/>
      <c r="M664" s="4"/>
      <c r="N664" s="4"/>
      <c r="O664" s="4"/>
      <c r="P664" s="4"/>
      <c r="Q664" s="4"/>
      <c r="R664" s="4"/>
      <c r="S664" s="4"/>
      <c r="T664" s="4"/>
      <c r="U664" s="4"/>
      <c r="V664" s="4"/>
      <c r="W664" s="4"/>
      <c r="X664" s="4"/>
      <c r="Y664" s="4"/>
      <c r="Z664" s="4"/>
      <c r="AA664" s="4"/>
      <c r="AB664" s="4"/>
    </row>
    <row r="665" spans="1:28" ht="13.5" customHeight="1">
      <c r="A665" s="4"/>
      <c r="B665" s="9"/>
      <c r="C665" s="9"/>
      <c r="D665" s="4"/>
      <c r="E665" s="4"/>
      <c r="F665" s="4"/>
      <c r="G665" s="4"/>
      <c r="H665" s="4"/>
      <c r="I665" s="4"/>
      <c r="J665" s="4"/>
      <c r="K665" s="4"/>
      <c r="L665" s="38"/>
      <c r="M665" s="4"/>
      <c r="N665" s="4"/>
      <c r="O665" s="4"/>
      <c r="P665" s="4"/>
      <c r="Q665" s="4"/>
      <c r="R665" s="4"/>
      <c r="S665" s="4"/>
      <c r="T665" s="4"/>
      <c r="U665" s="4"/>
      <c r="V665" s="4"/>
      <c r="W665" s="4"/>
      <c r="X665" s="4"/>
      <c r="Y665" s="4"/>
      <c r="Z665" s="4"/>
      <c r="AA665" s="4"/>
      <c r="AB665" s="4"/>
    </row>
    <row r="666" spans="1:28" ht="13.5" customHeight="1">
      <c r="A666" s="4"/>
      <c r="B666" s="9"/>
      <c r="C666" s="9"/>
      <c r="D666" s="4"/>
      <c r="E666" s="4"/>
      <c r="F666" s="4"/>
      <c r="G666" s="4"/>
      <c r="H666" s="4"/>
      <c r="I666" s="4"/>
      <c r="J666" s="4"/>
      <c r="K666" s="4"/>
      <c r="L666" s="38"/>
      <c r="M666" s="4"/>
      <c r="N666" s="4"/>
      <c r="O666" s="4"/>
      <c r="P666" s="4"/>
      <c r="Q666" s="4"/>
      <c r="R666" s="4"/>
      <c r="S666" s="4"/>
      <c r="T666" s="4"/>
      <c r="U666" s="4"/>
      <c r="V666" s="4"/>
      <c r="W666" s="4"/>
      <c r="X666" s="4"/>
      <c r="Y666" s="4"/>
      <c r="Z666" s="4"/>
      <c r="AA666" s="4"/>
      <c r="AB666" s="4"/>
    </row>
    <row r="667" spans="1:28" ht="13.5" customHeight="1">
      <c r="A667" s="4"/>
      <c r="B667" s="9"/>
      <c r="C667" s="9"/>
      <c r="D667" s="4"/>
      <c r="E667" s="4"/>
      <c r="F667" s="4"/>
      <c r="G667" s="4"/>
      <c r="H667" s="4"/>
      <c r="I667" s="4"/>
      <c r="J667" s="4"/>
      <c r="K667" s="4"/>
      <c r="L667" s="38"/>
      <c r="M667" s="4"/>
      <c r="N667" s="4"/>
      <c r="O667" s="4"/>
      <c r="P667" s="4"/>
      <c r="Q667" s="4"/>
      <c r="R667" s="4"/>
      <c r="S667" s="4"/>
      <c r="T667" s="4"/>
      <c r="U667" s="4"/>
      <c r="V667" s="4"/>
      <c r="W667" s="4"/>
      <c r="X667" s="4"/>
      <c r="Y667" s="4"/>
      <c r="Z667" s="4"/>
      <c r="AA667" s="4"/>
      <c r="AB667" s="4"/>
    </row>
    <row r="668" spans="1:28" ht="13.5" customHeight="1">
      <c r="A668" s="4"/>
      <c r="B668" s="9"/>
      <c r="C668" s="9"/>
      <c r="D668" s="4"/>
      <c r="E668" s="4"/>
      <c r="F668" s="4"/>
      <c r="G668" s="4"/>
      <c r="H668" s="4"/>
      <c r="I668" s="4"/>
      <c r="J668" s="4"/>
      <c r="K668" s="4"/>
      <c r="L668" s="38"/>
      <c r="M668" s="4"/>
      <c r="N668" s="4"/>
      <c r="O668" s="4"/>
      <c r="P668" s="4"/>
      <c r="Q668" s="4"/>
      <c r="R668" s="4"/>
      <c r="S668" s="4"/>
      <c r="T668" s="4"/>
      <c r="U668" s="4"/>
      <c r="V668" s="4"/>
      <c r="W668" s="4"/>
      <c r="X668" s="4"/>
      <c r="Y668" s="4"/>
      <c r="Z668" s="4"/>
      <c r="AA668" s="4"/>
      <c r="AB668" s="4"/>
    </row>
    <row r="669" spans="1:28" ht="13.5" customHeight="1">
      <c r="A669" s="4"/>
      <c r="B669" s="9"/>
      <c r="C669" s="9"/>
      <c r="D669" s="4"/>
      <c r="E669" s="4"/>
      <c r="F669" s="4"/>
      <c r="G669" s="4"/>
      <c r="H669" s="4"/>
      <c r="I669" s="4"/>
      <c r="J669" s="4"/>
      <c r="K669" s="4"/>
      <c r="L669" s="38"/>
      <c r="M669" s="4"/>
      <c r="N669" s="4"/>
      <c r="O669" s="4"/>
      <c r="P669" s="4"/>
      <c r="Q669" s="4"/>
      <c r="R669" s="4"/>
      <c r="S669" s="4"/>
      <c r="T669" s="4"/>
      <c r="U669" s="4"/>
      <c r="V669" s="4"/>
      <c r="W669" s="4"/>
      <c r="X669" s="4"/>
      <c r="Y669" s="4"/>
      <c r="Z669" s="4"/>
      <c r="AA669" s="4"/>
      <c r="AB669" s="4"/>
    </row>
    <row r="670" spans="1:28" ht="13.5" customHeight="1">
      <c r="A670" s="4"/>
      <c r="B670" s="9"/>
      <c r="C670" s="9"/>
      <c r="D670" s="4"/>
      <c r="E670" s="4"/>
      <c r="F670" s="4"/>
      <c r="G670" s="4"/>
      <c r="H670" s="4"/>
      <c r="I670" s="4"/>
      <c r="J670" s="4"/>
      <c r="K670" s="4"/>
      <c r="L670" s="38"/>
      <c r="M670" s="4"/>
      <c r="N670" s="4"/>
      <c r="O670" s="4"/>
      <c r="P670" s="4"/>
      <c r="Q670" s="4"/>
      <c r="R670" s="4"/>
      <c r="S670" s="4"/>
      <c r="T670" s="4"/>
      <c r="U670" s="4"/>
      <c r="V670" s="4"/>
      <c r="W670" s="4"/>
      <c r="X670" s="4"/>
      <c r="Y670" s="4"/>
      <c r="Z670" s="4"/>
      <c r="AA670" s="4"/>
      <c r="AB670" s="4"/>
    </row>
    <row r="671" spans="1:28" ht="13.5" customHeight="1">
      <c r="A671" s="4"/>
      <c r="B671" s="9"/>
      <c r="C671" s="9"/>
      <c r="D671" s="4"/>
      <c r="E671" s="4"/>
      <c r="F671" s="4"/>
      <c r="G671" s="4"/>
      <c r="H671" s="4"/>
      <c r="I671" s="4"/>
      <c r="J671" s="4"/>
      <c r="K671" s="4"/>
      <c r="L671" s="38"/>
      <c r="M671" s="4"/>
      <c r="N671" s="4"/>
      <c r="O671" s="4"/>
      <c r="P671" s="4"/>
      <c r="Q671" s="4"/>
      <c r="R671" s="4"/>
      <c r="S671" s="4"/>
      <c r="T671" s="4"/>
      <c r="U671" s="4"/>
      <c r="V671" s="4"/>
      <c r="W671" s="4"/>
      <c r="X671" s="4"/>
      <c r="Y671" s="4"/>
      <c r="Z671" s="4"/>
      <c r="AA671" s="4"/>
      <c r="AB671" s="4"/>
    </row>
    <row r="672" spans="1:28" ht="13.5" customHeight="1">
      <c r="A672" s="4"/>
      <c r="B672" s="9"/>
      <c r="C672" s="9"/>
      <c r="D672" s="4"/>
      <c r="E672" s="4"/>
      <c r="F672" s="4"/>
      <c r="G672" s="4"/>
      <c r="H672" s="4"/>
      <c r="I672" s="4"/>
      <c r="J672" s="4"/>
      <c r="K672" s="4"/>
      <c r="L672" s="38"/>
      <c r="M672" s="4"/>
      <c r="N672" s="4"/>
      <c r="O672" s="4"/>
      <c r="P672" s="4"/>
      <c r="Q672" s="4"/>
      <c r="R672" s="4"/>
      <c r="S672" s="4"/>
      <c r="T672" s="4"/>
      <c r="U672" s="4"/>
      <c r="V672" s="4"/>
      <c r="W672" s="4"/>
      <c r="X672" s="4"/>
      <c r="Y672" s="4"/>
      <c r="Z672" s="4"/>
      <c r="AA672" s="4"/>
      <c r="AB672" s="4"/>
    </row>
    <row r="673" spans="1:28" ht="13.5" customHeight="1">
      <c r="A673" s="4"/>
      <c r="B673" s="9"/>
      <c r="C673" s="9"/>
      <c r="D673" s="4"/>
      <c r="E673" s="4"/>
      <c r="F673" s="4"/>
      <c r="G673" s="4"/>
      <c r="H673" s="4"/>
      <c r="I673" s="4"/>
      <c r="J673" s="4"/>
      <c r="K673" s="4"/>
      <c r="L673" s="38"/>
      <c r="M673" s="4"/>
      <c r="N673" s="4"/>
      <c r="O673" s="4"/>
      <c r="P673" s="4"/>
      <c r="Q673" s="4"/>
      <c r="R673" s="4"/>
      <c r="S673" s="4"/>
      <c r="T673" s="4"/>
      <c r="U673" s="4"/>
      <c r="V673" s="4"/>
      <c r="W673" s="4"/>
      <c r="X673" s="4"/>
      <c r="Y673" s="4"/>
      <c r="Z673" s="4"/>
      <c r="AA673" s="4"/>
      <c r="AB673" s="4"/>
    </row>
    <row r="674" spans="1:28" ht="13.5" customHeight="1">
      <c r="A674" s="4"/>
      <c r="B674" s="9"/>
      <c r="C674" s="9"/>
      <c r="D674" s="4"/>
      <c r="E674" s="4"/>
      <c r="F674" s="4"/>
      <c r="G674" s="4"/>
      <c r="H674" s="4"/>
      <c r="I674" s="4"/>
      <c r="J674" s="4"/>
      <c r="K674" s="4"/>
      <c r="L674" s="38"/>
      <c r="M674" s="4"/>
      <c r="N674" s="4"/>
      <c r="O674" s="4"/>
      <c r="P674" s="4"/>
      <c r="Q674" s="4"/>
      <c r="R674" s="4"/>
      <c r="S674" s="4"/>
      <c r="T674" s="4"/>
      <c r="U674" s="4"/>
      <c r="V674" s="4"/>
      <c r="W674" s="4"/>
      <c r="X674" s="4"/>
      <c r="Y674" s="4"/>
      <c r="Z674" s="4"/>
      <c r="AA674" s="4"/>
      <c r="AB674" s="4"/>
    </row>
    <row r="675" spans="1:28" ht="13.5" customHeight="1">
      <c r="A675" s="4"/>
      <c r="B675" s="9"/>
      <c r="C675" s="9"/>
      <c r="D675" s="4"/>
      <c r="E675" s="4"/>
      <c r="F675" s="4"/>
      <c r="G675" s="4"/>
      <c r="H675" s="4"/>
      <c r="I675" s="4"/>
      <c r="J675" s="4"/>
      <c r="K675" s="4"/>
      <c r="L675" s="38"/>
      <c r="M675" s="4"/>
      <c r="N675" s="4"/>
      <c r="O675" s="4"/>
      <c r="P675" s="4"/>
      <c r="Q675" s="4"/>
      <c r="R675" s="4"/>
      <c r="S675" s="4"/>
      <c r="T675" s="4"/>
      <c r="U675" s="4"/>
      <c r="V675" s="4"/>
      <c r="W675" s="4"/>
      <c r="X675" s="4"/>
      <c r="Y675" s="4"/>
      <c r="Z675" s="4"/>
      <c r="AA675" s="4"/>
      <c r="AB675" s="4"/>
    </row>
    <row r="676" spans="1:28" ht="13.5" customHeight="1">
      <c r="A676" s="4"/>
      <c r="B676" s="9"/>
      <c r="C676" s="9"/>
      <c r="D676" s="4"/>
      <c r="E676" s="4"/>
      <c r="F676" s="4"/>
      <c r="G676" s="4"/>
      <c r="H676" s="4"/>
      <c r="I676" s="4"/>
      <c r="J676" s="4"/>
      <c r="K676" s="4"/>
      <c r="L676" s="38"/>
      <c r="M676" s="4"/>
      <c r="N676" s="4"/>
      <c r="O676" s="4"/>
      <c r="P676" s="4"/>
      <c r="Q676" s="4"/>
      <c r="R676" s="4"/>
      <c r="S676" s="4"/>
      <c r="T676" s="4"/>
      <c r="U676" s="4"/>
      <c r="V676" s="4"/>
      <c r="W676" s="4"/>
      <c r="X676" s="4"/>
      <c r="Y676" s="4"/>
      <c r="Z676" s="4"/>
      <c r="AA676" s="4"/>
      <c r="AB676" s="4"/>
    </row>
    <row r="677" spans="1:28" ht="13.5" customHeight="1">
      <c r="A677" s="4"/>
      <c r="B677" s="9"/>
      <c r="C677" s="9"/>
      <c r="D677" s="4"/>
      <c r="E677" s="4"/>
      <c r="F677" s="4"/>
      <c r="G677" s="4"/>
      <c r="H677" s="4"/>
      <c r="I677" s="4"/>
      <c r="J677" s="4"/>
      <c r="K677" s="4"/>
      <c r="L677" s="38"/>
      <c r="M677" s="4"/>
      <c r="N677" s="4"/>
      <c r="O677" s="4"/>
      <c r="P677" s="4"/>
      <c r="Q677" s="4"/>
      <c r="R677" s="4"/>
      <c r="S677" s="4"/>
      <c r="T677" s="4"/>
      <c r="U677" s="4"/>
      <c r="V677" s="4"/>
      <c r="W677" s="4"/>
      <c r="X677" s="4"/>
      <c r="Y677" s="4"/>
      <c r="Z677" s="4"/>
      <c r="AA677" s="4"/>
      <c r="AB677" s="4"/>
    </row>
    <row r="678" spans="1:28" ht="13.5" customHeight="1">
      <c r="A678" s="4"/>
      <c r="B678" s="9"/>
      <c r="C678" s="9"/>
      <c r="D678" s="4"/>
      <c r="E678" s="4"/>
      <c r="F678" s="4"/>
      <c r="G678" s="4"/>
      <c r="H678" s="4"/>
      <c r="I678" s="4"/>
      <c r="J678" s="4"/>
      <c r="K678" s="4"/>
      <c r="L678" s="38"/>
      <c r="M678" s="4"/>
      <c r="N678" s="4"/>
      <c r="O678" s="4"/>
      <c r="P678" s="4"/>
      <c r="Q678" s="4"/>
      <c r="R678" s="4"/>
      <c r="S678" s="4"/>
      <c r="T678" s="4"/>
      <c r="U678" s="4"/>
      <c r="V678" s="4"/>
      <c r="W678" s="4"/>
      <c r="X678" s="4"/>
      <c r="Y678" s="4"/>
      <c r="Z678" s="4"/>
      <c r="AA678" s="4"/>
      <c r="AB678" s="4"/>
    </row>
    <row r="679" spans="1:28" ht="13.5" customHeight="1">
      <c r="A679" s="4"/>
      <c r="B679" s="9"/>
      <c r="C679" s="9"/>
      <c r="D679" s="4"/>
      <c r="E679" s="4"/>
      <c r="F679" s="4"/>
      <c r="G679" s="4"/>
      <c r="H679" s="4"/>
      <c r="I679" s="4"/>
      <c r="J679" s="4"/>
      <c r="K679" s="4"/>
      <c r="L679" s="38"/>
      <c r="M679" s="4"/>
      <c r="N679" s="4"/>
      <c r="O679" s="4"/>
      <c r="P679" s="4"/>
      <c r="Q679" s="4"/>
      <c r="R679" s="4"/>
      <c r="S679" s="4"/>
      <c r="T679" s="4"/>
      <c r="U679" s="4"/>
      <c r="V679" s="4"/>
      <c r="W679" s="4"/>
      <c r="X679" s="4"/>
      <c r="Y679" s="4"/>
      <c r="Z679" s="4"/>
      <c r="AA679" s="4"/>
      <c r="AB679" s="4"/>
    </row>
    <row r="680" spans="1:28" ht="13.5" customHeight="1">
      <c r="A680" s="4"/>
      <c r="B680" s="9"/>
      <c r="C680" s="9"/>
      <c r="D680" s="4"/>
      <c r="E680" s="4"/>
      <c r="F680" s="4"/>
      <c r="G680" s="4"/>
      <c r="H680" s="4"/>
      <c r="I680" s="4"/>
      <c r="J680" s="4"/>
      <c r="K680" s="4"/>
      <c r="L680" s="38"/>
      <c r="M680" s="4"/>
      <c r="N680" s="4"/>
      <c r="O680" s="4"/>
      <c r="P680" s="4"/>
      <c r="Q680" s="4"/>
      <c r="R680" s="4"/>
      <c r="S680" s="4"/>
      <c r="T680" s="4"/>
      <c r="U680" s="4"/>
      <c r="V680" s="4"/>
      <c r="W680" s="4"/>
      <c r="X680" s="4"/>
      <c r="Y680" s="4"/>
      <c r="Z680" s="4"/>
      <c r="AA680" s="4"/>
      <c r="AB680" s="4"/>
    </row>
    <row r="681" spans="1:28" ht="13.5" customHeight="1">
      <c r="A681" s="4"/>
      <c r="B681" s="9"/>
      <c r="C681" s="9"/>
      <c r="D681" s="4"/>
      <c r="E681" s="4"/>
      <c r="F681" s="4"/>
      <c r="G681" s="4"/>
      <c r="H681" s="4"/>
      <c r="I681" s="4"/>
      <c r="J681" s="4"/>
      <c r="K681" s="4"/>
      <c r="L681" s="38"/>
      <c r="M681" s="4"/>
      <c r="N681" s="4"/>
      <c r="O681" s="4"/>
      <c r="P681" s="4"/>
      <c r="Q681" s="4"/>
      <c r="R681" s="4"/>
      <c r="S681" s="4"/>
      <c r="T681" s="4"/>
      <c r="U681" s="4"/>
      <c r="V681" s="4"/>
      <c r="W681" s="4"/>
      <c r="X681" s="4"/>
      <c r="Y681" s="4"/>
      <c r="Z681" s="4"/>
      <c r="AA681" s="4"/>
      <c r="AB681" s="4"/>
    </row>
    <row r="682" spans="1:28" ht="13.5" customHeight="1">
      <c r="A682" s="4"/>
      <c r="B682" s="9"/>
      <c r="C682" s="9"/>
      <c r="D682" s="4"/>
      <c r="E682" s="4"/>
      <c r="F682" s="4"/>
      <c r="G682" s="4"/>
      <c r="H682" s="4"/>
      <c r="I682" s="4"/>
      <c r="J682" s="4"/>
      <c r="K682" s="4"/>
      <c r="L682" s="38"/>
      <c r="M682" s="4"/>
      <c r="N682" s="4"/>
      <c r="O682" s="4"/>
      <c r="P682" s="4"/>
      <c r="Q682" s="4"/>
      <c r="R682" s="4"/>
      <c r="S682" s="4"/>
      <c r="T682" s="4"/>
      <c r="U682" s="4"/>
      <c r="V682" s="4"/>
      <c r="W682" s="4"/>
      <c r="X682" s="4"/>
      <c r="Y682" s="4"/>
      <c r="Z682" s="4"/>
      <c r="AA682" s="4"/>
      <c r="AB682" s="4"/>
    </row>
    <row r="683" spans="1:28" ht="13.5" customHeight="1">
      <c r="A683" s="4"/>
      <c r="B683" s="9"/>
      <c r="C683" s="9"/>
      <c r="D683" s="4"/>
      <c r="E683" s="4"/>
      <c r="F683" s="4"/>
      <c r="G683" s="4"/>
      <c r="H683" s="4"/>
      <c r="I683" s="4"/>
      <c r="J683" s="4"/>
      <c r="K683" s="4"/>
      <c r="L683" s="38"/>
      <c r="M683" s="4"/>
      <c r="N683" s="4"/>
      <c r="O683" s="4"/>
      <c r="P683" s="4"/>
      <c r="Q683" s="4"/>
      <c r="R683" s="4"/>
      <c r="S683" s="4"/>
      <c r="T683" s="4"/>
      <c r="U683" s="4"/>
      <c r="V683" s="4"/>
      <c r="W683" s="4"/>
      <c r="X683" s="4"/>
      <c r="Y683" s="4"/>
      <c r="Z683" s="4"/>
      <c r="AA683" s="4"/>
      <c r="AB683" s="4"/>
    </row>
    <row r="684" spans="1:28" ht="13.5" customHeight="1">
      <c r="A684" s="4"/>
      <c r="B684" s="9"/>
      <c r="C684" s="9"/>
      <c r="D684" s="4"/>
      <c r="E684" s="4"/>
      <c r="F684" s="4"/>
      <c r="G684" s="4"/>
      <c r="H684" s="4"/>
      <c r="I684" s="4"/>
      <c r="J684" s="4"/>
      <c r="K684" s="4"/>
      <c r="L684" s="38"/>
      <c r="M684" s="4"/>
      <c r="N684" s="4"/>
      <c r="O684" s="4"/>
      <c r="P684" s="4"/>
      <c r="Q684" s="4"/>
      <c r="R684" s="4"/>
      <c r="S684" s="4"/>
      <c r="T684" s="4"/>
      <c r="U684" s="4"/>
      <c r="V684" s="4"/>
      <c r="W684" s="4"/>
      <c r="X684" s="4"/>
      <c r="Y684" s="4"/>
      <c r="Z684" s="4"/>
      <c r="AA684" s="4"/>
      <c r="AB684" s="4"/>
    </row>
    <row r="685" spans="1:28" ht="13.5" customHeight="1">
      <c r="A685" s="4"/>
      <c r="B685" s="9"/>
      <c r="C685" s="9"/>
      <c r="D685" s="4"/>
      <c r="E685" s="4"/>
      <c r="F685" s="4"/>
      <c r="G685" s="4"/>
      <c r="H685" s="4"/>
      <c r="I685" s="4"/>
      <c r="J685" s="4"/>
      <c r="K685" s="4"/>
      <c r="L685" s="38"/>
      <c r="M685" s="4"/>
      <c r="N685" s="4"/>
      <c r="O685" s="4"/>
      <c r="P685" s="4"/>
      <c r="Q685" s="4"/>
      <c r="R685" s="4"/>
      <c r="S685" s="4"/>
      <c r="T685" s="4"/>
      <c r="U685" s="4"/>
      <c r="V685" s="4"/>
      <c r="W685" s="4"/>
      <c r="X685" s="4"/>
      <c r="Y685" s="4"/>
      <c r="Z685" s="4"/>
      <c r="AA685" s="4"/>
      <c r="AB685" s="4"/>
    </row>
    <row r="686" spans="1:28" ht="13.5" customHeight="1">
      <c r="A686" s="4"/>
      <c r="B686" s="9"/>
      <c r="C686" s="9"/>
      <c r="D686" s="4"/>
      <c r="E686" s="4"/>
      <c r="F686" s="4"/>
      <c r="G686" s="4"/>
      <c r="H686" s="4"/>
      <c r="I686" s="4"/>
      <c r="J686" s="4"/>
      <c r="K686" s="4"/>
      <c r="L686" s="38"/>
      <c r="M686" s="4"/>
      <c r="N686" s="4"/>
      <c r="O686" s="4"/>
      <c r="P686" s="4"/>
      <c r="Q686" s="4"/>
      <c r="R686" s="4"/>
      <c r="S686" s="4"/>
      <c r="T686" s="4"/>
      <c r="U686" s="4"/>
      <c r="V686" s="4"/>
      <c r="W686" s="4"/>
      <c r="X686" s="4"/>
      <c r="Y686" s="4"/>
      <c r="Z686" s="4"/>
      <c r="AA686" s="4"/>
      <c r="AB686" s="4"/>
    </row>
    <row r="687" spans="1:28" ht="13.5" customHeight="1">
      <c r="A687" s="4"/>
      <c r="B687" s="9"/>
      <c r="C687" s="9"/>
      <c r="D687" s="4"/>
      <c r="E687" s="4"/>
      <c r="F687" s="4"/>
      <c r="G687" s="4"/>
      <c r="H687" s="4"/>
      <c r="I687" s="4"/>
      <c r="J687" s="4"/>
      <c r="K687" s="4"/>
      <c r="L687" s="38"/>
      <c r="M687" s="4"/>
      <c r="N687" s="4"/>
      <c r="O687" s="4"/>
      <c r="P687" s="4"/>
      <c r="Q687" s="4"/>
      <c r="R687" s="4"/>
      <c r="S687" s="4"/>
      <c r="T687" s="4"/>
      <c r="U687" s="4"/>
      <c r="V687" s="4"/>
      <c r="W687" s="4"/>
      <c r="X687" s="4"/>
      <c r="Y687" s="4"/>
      <c r="Z687" s="4"/>
      <c r="AA687" s="4"/>
      <c r="AB687" s="4"/>
    </row>
    <row r="688" spans="1:28" ht="13.5" customHeight="1">
      <c r="A688" s="4"/>
      <c r="B688" s="9"/>
      <c r="C688" s="9"/>
      <c r="D688" s="4"/>
      <c r="E688" s="4"/>
      <c r="F688" s="4"/>
      <c r="G688" s="4"/>
      <c r="H688" s="4"/>
      <c r="I688" s="4"/>
      <c r="J688" s="4"/>
      <c r="K688" s="4"/>
      <c r="L688" s="38"/>
      <c r="M688" s="4"/>
      <c r="N688" s="4"/>
      <c r="O688" s="4"/>
      <c r="P688" s="4"/>
      <c r="Q688" s="4"/>
      <c r="R688" s="4"/>
      <c r="S688" s="4"/>
      <c r="T688" s="4"/>
      <c r="U688" s="4"/>
      <c r="V688" s="4"/>
      <c r="W688" s="4"/>
      <c r="X688" s="4"/>
      <c r="Y688" s="4"/>
      <c r="Z688" s="4"/>
      <c r="AA688" s="4"/>
      <c r="AB688" s="4"/>
    </row>
    <row r="689" spans="1:28" ht="13.5" customHeight="1">
      <c r="A689" s="4"/>
      <c r="B689" s="9"/>
      <c r="C689" s="9"/>
      <c r="D689" s="4"/>
      <c r="E689" s="4"/>
      <c r="F689" s="4"/>
      <c r="G689" s="4"/>
      <c r="H689" s="4"/>
      <c r="I689" s="4"/>
      <c r="J689" s="4"/>
      <c r="K689" s="4"/>
      <c r="L689" s="38"/>
      <c r="M689" s="4"/>
      <c r="N689" s="4"/>
      <c r="O689" s="4"/>
      <c r="P689" s="4"/>
      <c r="Q689" s="4"/>
      <c r="R689" s="4"/>
      <c r="S689" s="4"/>
      <c r="T689" s="4"/>
      <c r="U689" s="4"/>
      <c r="V689" s="4"/>
      <c r="W689" s="4"/>
      <c r="X689" s="4"/>
      <c r="Y689" s="4"/>
      <c r="Z689" s="4"/>
      <c r="AA689" s="4"/>
      <c r="AB689" s="4"/>
    </row>
    <row r="690" spans="1:28" ht="13.5" customHeight="1">
      <c r="A690" s="4"/>
      <c r="B690" s="9"/>
      <c r="C690" s="9"/>
      <c r="D690" s="4"/>
      <c r="E690" s="4"/>
      <c r="F690" s="4"/>
      <c r="G690" s="4"/>
      <c r="H690" s="4"/>
      <c r="I690" s="4"/>
      <c r="J690" s="4"/>
      <c r="K690" s="4"/>
      <c r="L690" s="38"/>
      <c r="M690" s="4"/>
      <c r="N690" s="4"/>
      <c r="O690" s="4"/>
      <c r="P690" s="4"/>
      <c r="Q690" s="4"/>
      <c r="R690" s="4"/>
      <c r="S690" s="4"/>
      <c r="T690" s="4"/>
      <c r="U690" s="4"/>
      <c r="V690" s="4"/>
      <c r="W690" s="4"/>
      <c r="X690" s="4"/>
      <c r="Y690" s="4"/>
      <c r="Z690" s="4"/>
      <c r="AA690" s="4"/>
      <c r="AB690" s="4"/>
    </row>
    <row r="691" spans="1:28" ht="13.5" customHeight="1">
      <c r="A691" s="4"/>
      <c r="B691" s="9"/>
      <c r="C691" s="9"/>
      <c r="D691" s="4"/>
      <c r="E691" s="4"/>
      <c r="F691" s="4"/>
      <c r="G691" s="4"/>
      <c r="H691" s="4"/>
      <c r="I691" s="4"/>
      <c r="J691" s="4"/>
      <c r="K691" s="4"/>
      <c r="L691" s="38"/>
      <c r="M691" s="4"/>
      <c r="N691" s="4"/>
      <c r="O691" s="4"/>
      <c r="P691" s="4"/>
      <c r="Q691" s="4"/>
      <c r="R691" s="4"/>
      <c r="S691" s="4"/>
      <c r="T691" s="4"/>
      <c r="U691" s="4"/>
      <c r="V691" s="4"/>
      <c r="W691" s="4"/>
      <c r="X691" s="4"/>
      <c r="Y691" s="4"/>
      <c r="Z691" s="4"/>
      <c r="AA691" s="4"/>
      <c r="AB691" s="4"/>
    </row>
    <row r="692" spans="1:28" ht="13.5" customHeight="1">
      <c r="A692" s="4"/>
      <c r="B692" s="9"/>
      <c r="C692" s="9"/>
      <c r="D692" s="4"/>
      <c r="E692" s="4"/>
      <c r="F692" s="4"/>
      <c r="G692" s="4"/>
      <c r="H692" s="4"/>
      <c r="I692" s="4"/>
      <c r="J692" s="4"/>
      <c r="K692" s="4"/>
      <c r="L692" s="38"/>
      <c r="M692" s="4"/>
      <c r="N692" s="4"/>
      <c r="O692" s="4"/>
      <c r="P692" s="4"/>
      <c r="Q692" s="4"/>
      <c r="R692" s="4"/>
      <c r="S692" s="4"/>
      <c r="T692" s="4"/>
      <c r="U692" s="4"/>
      <c r="V692" s="4"/>
      <c r="W692" s="4"/>
      <c r="X692" s="4"/>
      <c r="Y692" s="4"/>
      <c r="Z692" s="4"/>
      <c r="AA692" s="4"/>
      <c r="AB692" s="4"/>
    </row>
    <row r="693" spans="1:28" ht="13.5" customHeight="1">
      <c r="A693" s="4"/>
      <c r="B693" s="9"/>
      <c r="C693" s="9"/>
      <c r="D693" s="4"/>
      <c r="E693" s="4"/>
      <c r="F693" s="4"/>
      <c r="G693" s="4"/>
      <c r="H693" s="4"/>
      <c r="I693" s="4"/>
      <c r="J693" s="4"/>
      <c r="K693" s="4"/>
      <c r="L693" s="38"/>
      <c r="M693" s="4"/>
      <c r="N693" s="4"/>
      <c r="O693" s="4"/>
      <c r="P693" s="4"/>
      <c r="Q693" s="4"/>
      <c r="R693" s="4"/>
      <c r="S693" s="4"/>
      <c r="T693" s="4"/>
      <c r="U693" s="4"/>
      <c r="V693" s="4"/>
      <c r="W693" s="4"/>
      <c r="X693" s="4"/>
      <c r="Y693" s="4"/>
      <c r="Z693" s="4"/>
      <c r="AA693" s="4"/>
      <c r="AB693" s="4"/>
    </row>
    <row r="694" spans="1:28" ht="13.5" customHeight="1">
      <c r="A694" s="4"/>
      <c r="B694" s="9"/>
      <c r="C694" s="9"/>
      <c r="D694" s="4"/>
      <c r="E694" s="4"/>
      <c r="F694" s="4"/>
      <c r="G694" s="4"/>
      <c r="H694" s="4"/>
      <c r="I694" s="4"/>
      <c r="J694" s="4"/>
      <c r="K694" s="4"/>
      <c r="L694" s="38"/>
      <c r="M694" s="4"/>
      <c r="N694" s="4"/>
      <c r="O694" s="4"/>
      <c r="P694" s="4"/>
      <c r="Q694" s="4"/>
      <c r="R694" s="4"/>
      <c r="S694" s="4"/>
      <c r="T694" s="4"/>
      <c r="U694" s="4"/>
      <c r="V694" s="4"/>
      <c r="W694" s="4"/>
      <c r="X694" s="4"/>
      <c r="Y694" s="4"/>
      <c r="Z694" s="4"/>
      <c r="AA694" s="4"/>
      <c r="AB694" s="4"/>
    </row>
    <row r="695" spans="1:28" ht="13.5" customHeight="1">
      <c r="A695" s="4"/>
      <c r="B695" s="9"/>
      <c r="C695" s="9"/>
      <c r="D695" s="4"/>
      <c r="E695" s="4"/>
      <c r="F695" s="4"/>
      <c r="G695" s="4"/>
      <c r="H695" s="4"/>
      <c r="I695" s="4"/>
      <c r="J695" s="4"/>
      <c r="K695" s="4"/>
      <c r="L695" s="38"/>
      <c r="M695" s="4"/>
      <c r="N695" s="4"/>
      <c r="O695" s="4"/>
      <c r="P695" s="4"/>
      <c r="Q695" s="4"/>
      <c r="R695" s="4"/>
      <c r="S695" s="4"/>
      <c r="T695" s="4"/>
      <c r="U695" s="4"/>
      <c r="V695" s="4"/>
      <c r="W695" s="4"/>
      <c r="X695" s="4"/>
      <c r="Y695" s="4"/>
      <c r="Z695" s="4"/>
      <c r="AA695" s="4"/>
      <c r="AB695" s="4"/>
    </row>
    <row r="696" spans="1:28" ht="13.5" customHeight="1">
      <c r="A696" s="4"/>
      <c r="B696" s="9"/>
      <c r="C696" s="9"/>
      <c r="D696" s="4"/>
      <c r="E696" s="4"/>
      <c r="F696" s="4"/>
      <c r="G696" s="4"/>
      <c r="H696" s="4"/>
      <c r="I696" s="4"/>
      <c r="J696" s="4"/>
      <c r="K696" s="4"/>
      <c r="L696" s="38"/>
      <c r="M696" s="4"/>
      <c r="N696" s="4"/>
      <c r="O696" s="4"/>
      <c r="P696" s="4"/>
      <c r="Q696" s="4"/>
      <c r="R696" s="4"/>
      <c r="S696" s="4"/>
      <c r="T696" s="4"/>
      <c r="U696" s="4"/>
      <c r="V696" s="4"/>
      <c r="W696" s="4"/>
      <c r="X696" s="4"/>
      <c r="Y696" s="4"/>
      <c r="Z696" s="4"/>
      <c r="AA696" s="4"/>
      <c r="AB696" s="4"/>
    </row>
    <row r="697" spans="1:28" ht="13.5" customHeight="1">
      <c r="A697" s="4"/>
      <c r="B697" s="9"/>
      <c r="C697" s="9"/>
      <c r="D697" s="4"/>
      <c r="E697" s="4"/>
      <c r="F697" s="4"/>
      <c r="G697" s="4"/>
      <c r="H697" s="4"/>
      <c r="I697" s="4"/>
      <c r="J697" s="4"/>
      <c r="K697" s="4"/>
      <c r="L697" s="38"/>
      <c r="M697" s="4"/>
      <c r="N697" s="4"/>
      <c r="O697" s="4"/>
      <c r="P697" s="4"/>
      <c r="Q697" s="4"/>
      <c r="R697" s="4"/>
      <c r="S697" s="4"/>
      <c r="T697" s="4"/>
      <c r="U697" s="4"/>
      <c r="V697" s="4"/>
      <c r="W697" s="4"/>
      <c r="X697" s="4"/>
      <c r="Y697" s="4"/>
      <c r="Z697" s="4"/>
      <c r="AA697" s="4"/>
      <c r="AB697" s="4"/>
    </row>
    <row r="698" spans="1:28" ht="13.5" customHeight="1">
      <c r="A698" s="4"/>
      <c r="B698" s="9"/>
      <c r="C698" s="9"/>
      <c r="D698" s="4"/>
      <c r="E698" s="4"/>
      <c r="F698" s="4"/>
      <c r="G698" s="4"/>
      <c r="H698" s="4"/>
      <c r="I698" s="4"/>
      <c r="J698" s="4"/>
      <c r="K698" s="4"/>
      <c r="L698" s="38"/>
      <c r="M698" s="4"/>
      <c r="N698" s="4"/>
      <c r="O698" s="4"/>
      <c r="P698" s="4"/>
      <c r="Q698" s="4"/>
      <c r="R698" s="4"/>
      <c r="S698" s="4"/>
      <c r="T698" s="4"/>
      <c r="U698" s="4"/>
      <c r="V698" s="4"/>
      <c r="W698" s="4"/>
      <c r="X698" s="4"/>
      <c r="Y698" s="4"/>
      <c r="Z698" s="4"/>
      <c r="AA698" s="4"/>
      <c r="AB698" s="4"/>
    </row>
    <row r="699" spans="1:28" ht="13.5" customHeight="1">
      <c r="A699" s="4"/>
      <c r="B699" s="9"/>
      <c r="C699" s="9"/>
      <c r="D699" s="4"/>
      <c r="E699" s="4"/>
      <c r="F699" s="4"/>
      <c r="G699" s="4"/>
      <c r="H699" s="4"/>
      <c r="I699" s="4"/>
      <c r="J699" s="4"/>
      <c r="K699" s="4"/>
      <c r="L699" s="38"/>
      <c r="M699" s="4"/>
      <c r="N699" s="4"/>
      <c r="O699" s="4"/>
      <c r="P699" s="4"/>
      <c r="Q699" s="4"/>
      <c r="R699" s="4"/>
      <c r="S699" s="4"/>
      <c r="T699" s="4"/>
      <c r="U699" s="4"/>
      <c r="V699" s="4"/>
      <c r="W699" s="4"/>
      <c r="X699" s="4"/>
      <c r="Y699" s="4"/>
      <c r="Z699" s="4"/>
      <c r="AA699" s="4"/>
      <c r="AB699" s="4"/>
    </row>
    <row r="700" spans="1:28" ht="13.5" customHeight="1">
      <c r="A700" s="4"/>
      <c r="B700" s="9"/>
      <c r="C700" s="9"/>
      <c r="D700" s="4"/>
      <c r="E700" s="4"/>
      <c r="F700" s="4"/>
      <c r="G700" s="4"/>
      <c r="H700" s="4"/>
      <c r="I700" s="4"/>
      <c r="J700" s="4"/>
      <c r="K700" s="4"/>
      <c r="L700" s="38"/>
      <c r="M700" s="4"/>
      <c r="N700" s="4"/>
      <c r="O700" s="4"/>
      <c r="P700" s="4"/>
      <c r="Q700" s="4"/>
      <c r="R700" s="4"/>
      <c r="S700" s="4"/>
      <c r="T700" s="4"/>
      <c r="U700" s="4"/>
      <c r="V700" s="4"/>
      <c r="W700" s="4"/>
      <c r="X700" s="4"/>
      <c r="Y700" s="4"/>
      <c r="Z700" s="4"/>
      <c r="AA700" s="4"/>
      <c r="AB700" s="4"/>
    </row>
    <row r="701" spans="1:28" ht="13.5" customHeight="1">
      <c r="A701" s="4"/>
      <c r="B701" s="9"/>
      <c r="C701" s="9"/>
      <c r="D701" s="4"/>
      <c r="E701" s="4"/>
      <c r="F701" s="4"/>
      <c r="G701" s="4"/>
      <c r="H701" s="4"/>
      <c r="I701" s="4"/>
      <c r="J701" s="4"/>
      <c r="K701" s="4"/>
      <c r="L701" s="38"/>
      <c r="M701" s="4"/>
      <c r="N701" s="4"/>
      <c r="O701" s="4"/>
      <c r="P701" s="4"/>
      <c r="Q701" s="4"/>
      <c r="R701" s="4"/>
      <c r="S701" s="4"/>
      <c r="T701" s="4"/>
      <c r="U701" s="4"/>
      <c r="V701" s="4"/>
      <c r="W701" s="4"/>
      <c r="X701" s="4"/>
      <c r="Y701" s="4"/>
      <c r="Z701" s="4"/>
      <c r="AA701" s="4"/>
      <c r="AB701" s="4"/>
    </row>
    <row r="702" spans="1:28" ht="13.5" customHeight="1">
      <c r="A702" s="4"/>
      <c r="B702" s="9"/>
      <c r="C702" s="9"/>
      <c r="D702" s="4"/>
      <c r="E702" s="4"/>
      <c r="F702" s="4"/>
      <c r="G702" s="4"/>
      <c r="H702" s="4"/>
      <c r="I702" s="4"/>
      <c r="J702" s="4"/>
      <c r="K702" s="4"/>
      <c r="L702" s="38"/>
      <c r="M702" s="4"/>
      <c r="N702" s="4"/>
      <c r="O702" s="4"/>
      <c r="P702" s="4"/>
      <c r="Q702" s="4"/>
      <c r="R702" s="4"/>
      <c r="S702" s="4"/>
      <c r="T702" s="4"/>
      <c r="U702" s="4"/>
      <c r="V702" s="4"/>
      <c r="W702" s="4"/>
      <c r="X702" s="4"/>
      <c r="Y702" s="4"/>
      <c r="Z702" s="4"/>
      <c r="AA702" s="4"/>
      <c r="AB702" s="4"/>
    </row>
    <row r="703" spans="1:28" ht="13.5" customHeight="1">
      <c r="A703" s="4"/>
      <c r="B703" s="9"/>
      <c r="C703" s="9"/>
      <c r="D703" s="4"/>
      <c r="E703" s="4"/>
      <c r="F703" s="4"/>
      <c r="G703" s="4"/>
      <c r="H703" s="4"/>
      <c r="I703" s="4"/>
      <c r="J703" s="4"/>
      <c r="K703" s="4"/>
      <c r="L703" s="38"/>
      <c r="M703" s="4"/>
      <c r="N703" s="4"/>
      <c r="O703" s="4"/>
      <c r="P703" s="4"/>
      <c r="Q703" s="4"/>
      <c r="R703" s="4"/>
      <c r="S703" s="4"/>
      <c r="T703" s="4"/>
      <c r="U703" s="4"/>
      <c r="V703" s="4"/>
      <c r="W703" s="4"/>
      <c r="X703" s="4"/>
      <c r="Y703" s="4"/>
      <c r="Z703" s="4"/>
      <c r="AA703" s="4"/>
      <c r="AB703" s="4"/>
    </row>
    <row r="704" spans="1:28" ht="13.5" customHeight="1">
      <c r="A704" s="4"/>
      <c r="B704" s="9"/>
      <c r="C704" s="9"/>
      <c r="D704" s="4"/>
      <c r="E704" s="4"/>
      <c r="F704" s="4"/>
      <c r="G704" s="4"/>
      <c r="H704" s="4"/>
      <c r="I704" s="4"/>
      <c r="J704" s="4"/>
      <c r="K704" s="4"/>
      <c r="L704" s="38"/>
      <c r="M704" s="4"/>
      <c r="N704" s="4"/>
      <c r="O704" s="4"/>
      <c r="P704" s="4"/>
      <c r="Q704" s="4"/>
      <c r="R704" s="4"/>
      <c r="S704" s="4"/>
      <c r="T704" s="4"/>
      <c r="U704" s="4"/>
      <c r="V704" s="4"/>
      <c r="W704" s="4"/>
      <c r="X704" s="4"/>
      <c r="Y704" s="4"/>
      <c r="Z704" s="4"/>
      <c r="AA704" s="4"/>
      <c r="AB704" s="4"/>
    </row>
    <row r="705" spans="1:28" ht="13.5" customHeight="1">
      <c r="A705" s="4"/>
      <c r="B705" s="9"/>
      <c r="C705" s="9"/>
      <c r="D705" s="4"/>
      <c r="E705" s="4"/>
      <c r="F705" s="4"/>
      <c r="G705" s="4"/>
      <c r="H705" s="4"/>
      <c r="I705" s="4"/>
      <c r="J705" s="4"/>
      <c r="K705" s="4"/>
      <c r="L705" s="38"/>
      <c r="M705" s="4"/>
      <c r="N705" s="4"/>
      <c r="O705" s="4"/>
      <c r="P705" s="4"/>
      <c r="Q705" s="4"/>
      <c r="R705" s="4"/>
      <c r="S705" s="4"/>
      <c r="T705" s="4"/>
      <c r="U705" s="4"/>
      <c r="V705" s="4"/>
      <c r="W705" s="4"/>
      <c r="X705" s="4"/>
      <c r="Y705" s="4"/>
      <c r="Z705" s="4"/>
      <c r="AA705" s="4"/>
      <c r="AB705" s="4"/>
    </row>
    <row r="706" spans="1:28" ht="13.5" customHeight="1">
      <c r="A706" s="4"/>
      <c r="B706" s="9"/>
      <c r="C706" s="9"/>
      <c r="D706" s="4"/>
      <c r="E706" s="4"/>
      <c r="F706" s="4"/>
      <c r="G706" s="4"/>
      <c r="H706" s="4"/>
      <c r="I706" s="4"/>
      <c r="J706" s="4"/>
      <c r="K706" s="4"/>
      <c r="L706" s="38"/>
      <c r="M706" s="4"/>
      <c r="N706" s="4"/>
      <c r="O706" s="4"/>
      <c r="P706" s="4"/>
      <c r="Q706" s="4"/>
      <c r="R706" s="4"/>
      <c r="S706" s="4"/>
      <c r="T706" s="4"/>
      <c r="U706" s="4"/>
      <c r="V706" s="4"/>
      <c r="W706" s="4"/>
      <c r="X706" s="4"/>
      <c r="Y706" s="4"/>
      <c r="Z706" s="4"/>
      <c r="AA706" s="4"/>
      <c r="AB706" s="4"/>
    </row>
    <row r="707" spans="1:28" ht="13.5" customHeight="1">
      <c r="A707" s="4"/>
      <c r="B707" s="9"/>
      <c r="C707" s="9"/>
      <c r="D707" s="4"/>
      <c r="E707" s="4"/>
      <c r="F707" s="4"/>
      <c r="G707" s="4"/>
      <c r="H707" s="4"/>
      <c r="I707" s="4"/>
      <c r="J707" s="4"/>
      <c r="K707" s="4"/>
      <c r="L707" s="38"/>
      <c r="M707" s="4"/>
      <c r="N707" s="4"/>
      <c r="O707" s="4"/>
      <c r="P707" s="4"/>
      <c r="Q707" s="4"/>
      <c r="R707" s="4"/>
      <c r="S707" s="4"/>
      <c r="T707" s="4"/>
      <c r="U707" s="4"/>
      <c r="V707" s="4"/>
      <c r="W707" s="4"/>
      <c r="X707" s="4"/>
      <c r="Y707" s="4"/>
      <c r="Z707" s="4"/>
      <c r="AA707" s="4"/>
      <c r="AB707" s="4"/>
    </row>
    <row r="708" spans="1:28" ht="13.5" customHeight="1">
      <c r="A708" s="4"/>
      <c r="B708" s="9"/>
      <c r="C708" s="9"/>
      <c r="D708" s="4"/>
      <c r="E708" s="4"/>
      <c r="F708" s="4"/>
      <c r="G708" s="4"/>
      <c r="H708" s="4"/>
      <c r="I708" s="4"/>
      <c r="J708" s="4"/>
      <c r="K708" s="4"/>
      <c r="L708" s="38"/>
      <c r="M708" s="4"/>
      <c r="N708" s="4"/>
      <c r="O708" s="4"/>
      <c r="P708" s="4"/>
      <c r="Q708" s="4"/>
      <c r="R708" s="4"/>
      <c r="S708" s="4"/>
      <c r="T708" s="4"/>
      <c r="U708" s="4"/>
      <c r="V708" s="4"/>
      <c r="W708" s="4"/>
      <c r="X708" s="4"/>
      <c r="Y708" s="4"/>
      <c r="Z708" s="4"/>
      <c r="AA708" s="4"/>
      <c r="AB708" s="4"/>
    </row>
    <row r="709" spans="1:28" ht="13.5" customHeight="1">
      <c r="A709" s="4"/>
      <c r="B709" s="9"/>
      <c r="C709" s="9"/>
      <c r="D709" s="4"/>
      <c r="E709" s="4"/>
      <c r="F709" s="4"/>
      <c r="G709" s="4"/>
      <c r="H709" s="4"/>
      <c r="I709" s="4"/>
      <c r="J709" s="4"/>
      <c r="K709" s="4"/>
      <c r="L709" s="38"/>
      <c r="M709" s="4"/>
      <c r="N709" s="4"/>
      <c r="O709" s="4"/>
      <c r="P709" s="4"/>
      <c r="Q709" s="4"/>
      <c r="R709" s="4"/>
      <c r="S709" s="4"/>
      <c r="T709" s="4"/>
      <c r="U709" s="4"/>
      <c r="V709" s="4"/>
      <c r="W709" s="4"/>
      <c r="X709" s="4"/>
      <c r="Y709" s="4"/>
      <c r="Z709" s="4"/>
      <c r="AA709" s="4"/>
      <c r="AB709" s="4"/>
    </row>
    <row r="710" spans="1:28" ht="13.5" customHeight="1">
      <c r="A710" s="4"/>
      <c r="B710" s="9"/>
      <c r="C710" s="9"/>
      <c r="D710" s="4"/>
      <c r="E710" s="4"/>
      <c r="F710" s="4"/>
      <c r="G710" s="4"/>
      <c r="H710" s="4"/>
      <c r="I710" s="4"/>
      <c r="J710" s="4"/>
      <c r="K710" s="4"/>
      <c r="L710" s="38"/>
      <c r="M710" s="4"/>
      <c r="N710" s="4"/>
      <c r="O710" s="4"/>
      <c r="P710" s="4"/>
      <c r="Q710" s="4"/>
      <c r="R710" s="4"/>
      <c r="S710" s="4"/>
      <c r="T710" s="4"/>
      <c r="U710" s="4"/>
      <c r="V710" s="4"/>
      <c r="W710" s="4"/>
      <c r="X710" s="4"/>
      <c r="Y710" s="4"/>
      <c r="Z710" s="4"/>
      <c r="AA710" s="4"/>
      <c r="AB710" s="4"/>
    </row>
    <row r="711" spans="1:28" ht="13.5" customHeight="1">
      <c r="A711" s="4"/>
      <c r="B711" s="9"/>
      <c r="C711" s="9"/>
      <c r="D711" s="4"/>
      <c r="E711" s="4"/>
      <c r="F711" s="4"/>
      <c r="G711" s="4"/>
      <c r="H711" s="4"/>
      <c r="I711" s="4"/>
      <c r="J711" s="4"/>
      <c r="K711" s="4"/>
      <c r="L711" s="38"/>
      <c r="M711" s="4"/>
      <c r="N711" s="4"/>
      <c r="O711" s="4"/>
      <c r="P711" s="4"/>
      <c r="Q711" s="4"/>
      <c r="R711" s="4"/>
      <c r="S711" s="4"/>
      <c r="T711" s="4"/>
      <c r="U711" s="4"/>
      <c r="V711" s="4"/>
      <c r="W711" s="4"/>
      <c r="X711" s="4"/>
      <c r="Y711" s="4"/>
      <c r="Z711" s="4"/>
      <c r="AA711" s="4"/>
      <c r="AB711" s="4"/>
    </row>
    <row r="712" spans="1:28" ht="13.5" customHeight="1">
      <c r="A712" s="4"/>
      <c r="B712" s="9"/>
      <c r="C712" s="9"/>
      <c r="D712" s="4"/>
      <c r="E712" s="4"/>
      <c r="F712" s="4"/>
      <c r="G712" s="4"/>
      <c r="H712" s="4"/>
      <c r="I712" s="4"/>
      <c r="J712" s="4"/>
      <c r="K712" s="4"/>
      <c r="L712" s="38"/>
      <c r="M712" s="4"/>
      <c r="N712" s="4"/>
      <c r="O712" s="4"/>
      <c r="P712" s="4"/>
      <c r="Q712" s="4"/>
      <c r="R712" s="4"/>
      <c r="S712" s="4"/>
      <c r="T712" s="4"/>
      <c r="U712" s="4"/>
      <c r="V712" s="4"/>
      <c r="W712" s="4"/>
      <c r="X712" s="4"/>
      <c r="Y712" s="4"/>
      <c r="Z712" s="4"/>
      <c r="AA712" s="4"/>
      <c r="AB712" s="4"/>
    </row>
    <row r="713" spans="1:28" ht="13.5" customHeight="1">
      <c r="A713" s="4"/>
      <c r="B713" s="9"/>
      <c r="C713" s="9"/>
      <c r="D713" s="4"/>
      <c r="E713" s="4"/>
      <c r="F713" s="4"/>
      <c r="G713" s="4"/>
      <c r="H713" s="4"/>
      <c r="I713" s="4"/>
      <c r="J713" s="4"/>
      <c r="K713" s="4"/>
      <c r="L713" s="38"/>
      <c r="M713" s="4"/>
      <c r="N713" s="4"/>
      <c r="O713" s="4"/>
      <c r="P713" s="4"/>
      <c r="Q713" s="4"/>
      <c r="R713" s="4"/>
      <c r="S713" s="4"/>
      <c r="T713" s="4"/>
      <c r="U713" s="4"/>
      <c r="V713" s="4"/>
      <c r="W713" s="4"/>
      <c r="X713" s="4"/>
      <c r="Y713" s="4"/>
      <c r="Z713" s="4"/>
      <c r="AA713" s="4"/>
      <c r="AB713" s="4"/>
    </row>
    <row r="714" spans="1:28" ht="13.5" customHeight="1">
      <c r="A714" s="4"/>
      <c r="B714" s="9"/>
      <c r="C714" s="9"/>
      <c r="D714" s="4"/>
      <c r="E714" s="4"/>
      <c r="F714" s="4"/>
      <c r="G714" s="4"/>
      <c r="H714" s="4"/>
      <c r="I714" s="4"/>
      <c r="J714" s="4"/>
      <c r="K714" s="4"/>
      <c r="L714" s="38"/>
      <c r="M714" s="4"/>
      <c r="N714" s="4"/>
      <c r="O714" s="4"/>
      <c r="P714" s="4"/>
      <c r="Q714" s="4"/>
      <c r="R714" s="4"/>
      <c r="S714" s="4"/>
      <c r="T714" s="4"/>
      <c r="U714" s="4"/>
      <c r="V714" s="4"/>
      <c r="W714" s="4"/>
      <c r="X714" s="4"/>
      <c r="Y714" s="4"/>
      <c r="Z714" s="4"/>
      <c r="AA714" s="4"/>
      <c r="AB714" s="4"/>
    </row>
    <row r="715" spans="1:28" ht="13.5" customHeight="1">
      <c r="A715" s="4"/>
      <c r="B715" s="9"/>
      <c r="C715" s="9"/>
      <c r="D715" s="4"/>
      <c r="E715" s="4"/>
      <c r="F715" s="4"/>
      <c r="G715" s="4"/>
      <c r="H715" s="4"/>
      <c r="I715" s="4"/>
      <c r="J715" s="4"/>
      <c r="K715" s="4"/>
      <c r="L715" s="38"/>
      <c r="M715" s="4"/>
      <c r="N715" s="4"/>
      <c r="O715" s="4"/>
      <c r="P715" s="4"/>
      <c r="Q715" s="4"/>
      <c r="R715" s="4"/>
      <c r="S715" s="4"/>
      <c r="T715" s="4"/>
      <c r="U715" s="4"/>
      <c r="V715" s="4"/>
      <c r="W715" s="4"/>
      <c r="X715" s="4"/>
      <c r="Y715" s="4"/>
      <c r="Z715" s="4"/>
      <c r="AA715" s="4"/>
      <c r="AB715" s="4"/>
    </row>
    <row r="716" spans="1:28" ht="13.5" customHeight="1">
      <c r="A716" s="4"/>
      <c r="B716" s="9"/>
      <c r="C716" s="9"/>
      <c r="D716" s="4"/>
      <c r="E716" s="4"/>
      <c r="F716" s="4"/>
      <c r="G716" s="4"/>
      <c r="H716" s="4"/>
      <c r="I716" s="4"/>
      <c r="J716" s="4"/>
      <c r="K716" s="4"/>
      <c r="L716" s="38"/>
      <c r="M716" s="4"/>
      <c r="N716" s="4"/>
      <c r="O716" s="4"/>
      <c r="P716" s="4"/>
      <c r="Q716" s="4"/>
      <c r="R716" s="4"/>
      <c r="S716" s="4"/>
      <c r="T716" s="4"/>
      <c r="U716" s="4"/>
      <c r="V716" s="4"/>
      <c r="W716" s="4"/>
      <c r="X716" s="4"/>
      <c r="Y716" s="4"/>
      <c r="Z716" s="4"/>
      <c r="AA716" s="4"/>
      <c r="AB716" s="4"/>
    </row>
    <row r="717" spans="1:28" ht="13.5" customHeight="1">
      <c r="A717" s="4"/>
      <c r="B717" s="9"/>
      <c r="C717" s="9"/>
      <c r="D717" s="4"/>
      <c r="E717" s="4"/>
      <c r="F717" s="4"/>
      <c r="G717" s="4"/>
      <c r="H717" s="4"/>
      <c r="I717" s="4"/>
      <c r="J717" s="4"/>
      <c r="K717" s="4"/>
      <c r="L717" s="38"/>
      <c r="M717" s="4"/>
      <c r="N717" s="4"/>
      <c r="O717" s="4"/>
      <c r="P717" s="4"/>
      <c r="Q717" s="4"/>
      <c r="R717" s="4"/>
      <c r="S717" s="4"/>
      <c r="T717" s="4"/>
      <c r="U717" s="4"/>
      <c r="V717" s="4"/>
      <c r="W717" s="4"/>
      <c r="X717" s="4"/>
      <c r="Y717" s="4"/>
      <c r="Z717" s="4"/>
      <c r="AA717" s="4"/>
      <c r="AB717" s="4"/>
    </row>
    <row r="718" spans="1:28" ht="13.5" customHeight="1">
      <c r="A718" s="4"/>
      <c r="B718" s="9"/>
      <c r="C718" s="9"/>
      <c r="D718" s="4"/>
      <c r="E718" s="4"/>
      <c r="F718" s="4"/>
      <c r="G718" s="4"/>
      <c r="H718" s="4"/>
      <c r="I718" s="4"/>
      <c r="J718" s="4"/>
      <c r="K718" s="4"/>
      <c r="L718" s="38"/>
      <c r="M718" s="4"/>
      <c r="N718" s="4"/>
      <c r="O718" s="4"/>
      <c r="P718" s="4"/>
      <c r="Q718" s="4"/>
      <c r="R718" s="4"/>
      <c r="S718" s="4"/>
      <c r="T718" s="4"/>
      <c r="U718" s="4"/>
      <c r="V718" s="4"/>
      <c r="W718" s="4"/>
      <c r="X718" s="4"/>
      <c r="Y718" s="4"/>
      <c r="Z718" s="4"/>
      <c r="AA718" s="4"/>
      <c r="AB718" s="4"/>
    </row>
    <row r="719" spans="1:28" ht="13.5" customHeight="1">
      <c r="A719" s="4"/>
      <c r="B719" s="9"/>
      <c r="C719" s="9"/>
      <c r="D719" s="4"/>
      <c r="E719" s="4"/>
      <c r="F719" s="4"/>
      <c r="G719" s="4"/>
      <c r="H719" s="4"/>
      <c r="I719" s="4"/>
      <c r="J719" s="4"/>
      <c r="K719" s="4"/>
      <c r="L719" s="38"/>
      <c r="M719" s="4"/>
      <c r="N719" s="4"/>
      <c r="O719" s="4"/>
      <c r="P719" s="4"/>
      <c r="Q719" s="4"/>
      <c r="R719" s="4"/>
      <c r="S719" s="4"/>
      <c r="T719" s="4"/>
      <c r="U719" s="4"/>
      <c r="V719" s="4"/>
      <c r="W719" s="4"/>
      <c r="X719" s="4"/>
      <c r="Y719" s="4"/>
      <c r="Z719" s="4"/>
      <c r="AA719" s="4"/>
      <c r="AB719" s="4"/>
    </row>
    <row r="720" spans="1:28" ht="13.5" customHeight="1">
      <c r="A720" s="4"/>
      <c r="B720" s="9"/>
      <c r="C720" s="9"/>
      <c r="D720" s="4"/>
      <c r="E720" s="4"/>
      <c r="F720" s="4"/>
      <c r="G720" s="4"/>
      <c r="H720" s="4"/>
      <c r="I720" s="4"/>
      <c r="J720" s="4"/>
      <c r="K720" s="4"/>
      <c r="L720" s="38"/>
      <c r="M720" s="4"/>
      <c r="N720" s="4"/>
      <c r="O720" s="4"/>
      <c r="P720" s="4"/>
      <c r="Q720" s="4"/>
      <c r="R720" s="4"/>
      <c r="S720" s="4"/>
      <c r="T720" s="4"/>
      <c r="U720" s="4"/>
      <c r="V720" s="4"/>
      <c r="W720" s="4"/>
      <c r="X720" s="4"/>
      <c r="Y720" s="4"/>
      <c r="Z720" s="4"/>
      <c r="AA720" s="4"/>
      <c r="AB720" s="4"/>
    </row>
    <row r="721" spans="1:28" ht="13.5" customHeight="1">
      <c r="A721" s="4"/>
      <c r="B721" s="9"/>
      <c r="C721" s="9"/>
      <c r="D721" s="4"/>
      <c r="E721" s="4"/>
      <c r="F721" s="4"/>
      <c r="G721" s="4"/>
      <c r="H721" s="4"/>
      <c r="I721" s="4"/>
      <c r="J721" s="4"/>
      <c r="K721" s="4"/>
      <c r="L721" s="38"/>
      <c r="M721" s="4"/>
      <c r="N721" s="4"/>
      <c r="O721" s="4"/>
      <c r="P721" s="4"/>
      <c r="Q721" s="4"/>
      <c r="R721" s="4"/>
      <c r="S721" s="4"/>
      <c r="T721" s="4"/>
      <c r="U721" s="4"/>
      <c r="V721" s="4"/>
      <c r="W721" s="4"/>
      <c r="X721" s="4"/>
      <c r="Y721" s="4"/>
      <c r="Z721" s="4"/>
      <c r="AA721" s="4"/>
      <c r="AB721" s="4"/>
    </row>
    <row r="722" spans="1:28" ht="13.5" customHeight="1">
      <c r="A722" s="4"/>
      <c r="B722" s="9"/>
      <c r="C722" s="9"/>
      <c r="D722" s="4"/>
      <c r="E722" s="4"/>
      <c r="F722" s="4"/>
      <c r="G722" s="4"/>
      <c r="H722" s="4"/>
      <c r="I722" s="4"/>
      <c r="J722" s="4"/>
      <c r="K722" s="4"/>
      <c r="L722" s="38"/>
      <c r="M722" s="4"/>
      <c r="N722" s="4"/>
      <c r="O722" s="4"/>
      <c r="P722" s="4"/>
      <c r="Q722" s="4"/>
      <c r="R722" s="4"/>
      <c r="S722" s="4"/>
      <c r="T722" s="4"/>
      <c r="U722" s="4"/>
      <c r="V722" s="4"/>
      <c r="W722" s="4"/>
      <c r="X722" s="4"/>
      <c r="Y722" s="4"/>
      <c r="Z722" s="4"/>
      <c r="AA722" s="4"/>
      <c r="AB722" s="4"/>
    </row>
    <row r="723" spans="1:28" ht="13.5" customHeight="1">
      <c r="A723" s="4"/>
      <c r="B723" s="9"/>
      <c r="C723" s="9"/>
      <c r="D723" s="4"/>
      <c r="E723" s="4"/>
      <c r="F723" s="4"/>
      <c r="G723" s="4"/>
      <c r="H723" s="4"/>
      <c r="I723" s="4"/>
      <c r="J723" s="4"/>
      <c r="K723" s="4"/>
      <c r="L723" s="38"/>
      <c r="M723" s="4"/>
      <c r="N723" s="4"/>
      <c r="O723" s="4"/>
      <c r="P723" s="4"/>
      <c r="Q723" s="4"/>
      <c r="R723" s="4"/>
      <c r="S723" s="4"/>
      <c r="T723" s="4"/>
      <c r="U723" s="4"/>
      <c r="V723" s="4"/>
      <c r="W723" s="4"/>
      <c r="X723" s="4"/>
      <c r="Y723" s="4"/>
      <c r="Z723" s="4"/>
      <c r="AA723" s="4"/>
      <c r="AB723" s="4"/>
    </row>
    <row r="724" spans="1:28" ht="13.5" customHeight="1">
      <c r="A724" s="4"/>
      <c r="B724" s="9"/>
      <c r="C724" s="9"/>
      <c r="D724" s="4"/>
      <c r="E724" s="4"/>
      <c r="F724" s="4"/>
      <c r="G724" s="4"/>
      <c r="H724" s="4"/>
      <c r="I724" s="4"/>
      <c r="J724" s="4"/>
      <c r="K724" s="4"/>
      <c r="L724" s="38"/>
      <c r="M724" s="4"/>
      <c r="N724" s="4"/>
      <c r="O724" s="4"/>
      <c r="P724" s="4"/>
      <c r="Q724" s="4"/>
      <c r="R724" s="4"/>
      <c r="S724" s="4"/>
      <c r="T724" s="4"/>
      <c r="U724" s="4"/>
      <c r="V724" s="4"/>
      <c r="W724" s="4"/>
      <c r="X724" s="4"/>
      <c r="Y724" s="4"/>
      <c r="Z724" s="4"/>
      <c r="AA724" s="4"/>
      <c r="AB724" s="4"/>
    </row>
    <row r="725" spans="1:28" ht="13.5" customHeight="1">
      <c r="A725" s="4"/>
      <c r="B725" s="9"/>
      <c r="C725" s="9"/>
      <c r="D725" s="4"/>
      <c r="E725" s="4"/>
      <c r="F725" s="4"/>
      <c r="G725" s="4"/>
      <c r="H725" s="4"/>
      <c r="I725" s="4"/>
      <c r="J725" s="4"/>
      <c r="K725" s="4"/>
      <c r="L725" s="38"/>
      <c r="M725" s="4"/>
      <c r="N725" s="4"/>
      <c r="O725" s="4"/>
      <c r="P725" s="4"/>
      <c r="Q725" s="4"/>
      <c r="R725" s="4"/>
      <c r="S725" s="4"/>
      <c r="T725" s="4"/>
      <c r="U725" s="4"/>
      <c r="V725" s="4"/>
      <c r="W725" s="4"/>
      <c r="X725" s="4"/>
      <c r="Y725" s="4"/>
      <c r="Z725" s="4"/>
      <c r="AA725" s="4"/>
      <c r="AB725" s="4"/>
    </row>
    <row r="726" spans="1:28" ht="13.5" customHeight="1">
      <c r="A726" s="4"/>
      <c r="B726" s="9"/>
      <c r="C726" s="9"/>
      <c r="D726" s="4"/>
      <c r="E726" s="4"/>
      <c r="F726" s="4"/>
      <c r="G726" s="4"/>
      <c r="H726" s="4"/>
      <c r="I726" s="4"/>
      <c r="J726" s="4"/>
      <c r="K726" s="4"/>
      <c r="L726" s="38"/>
      <c r="M726" s="4"/>
      <c r="N726" s="4"/>
      <c r="O726" s="4"/>
      <c r="P726" s="4"/>
      <c r="Q726" s="4"/>
      <c r="R726" s="4"/>
      <c r="S726" s="4"/>
      <c r="T726" s="4"/>
      <c r="U726" s="4"/>
      <c r="V726" s="4"/>
      <c r="W726" s="4"/>
      <c r="X726" s="4"/>
      <c r="Y726" s="4"/>
      <c r="Z726" s="4"/>
      <c r="AA726" s="4"/>
      <c r="AB726" s="4"/>
    </row>
    <row r="727" spans="1:28" ht="13.5" customHeight="1">
      <c r="A727" s="4"/>
      <c r="B727" s="9"/>
      <c r="C727" s="9"/>
      <c r="D727" s="4"/>
      <c r="E727" s="4"/>
      <c r="F727" s="4"/>
      <c r="G727" s="4"/>
      <c r="H727" s="4"/>
      <c r="I727" s="4"/>
      <c r="J727" s="4"/>
      <c r="K727" s="4"/>
      <c r="L727" s="38"/>
      <c r="M727" s="4"/>
      <c r="N727" s="4"/>
      <c r="O727" s="4"/>
      <c r="P727" s="4"/>
      <c r="Q727" s="4"/>
      <c r="R727" s="4"/>
      <c r="S727" s="4"/>
      <c r="T727" s="4"/>
      <c r="U727" s="4"/>
      <c r="V727" s="4"/>
      <c r="W727" s="4"/>
      <c r="X727" s="4"/>
      <c r="Y727" s="4"/>
      <c r="Z727" s="4"/>
      <c r="AA727" s="4"/>
      <c r="AB727" s="4"/>
    </row>
    <row r="728" spans="1:28" ht="13.5" customHeight="1">
      <c r="A728" s="4"/>
      <c r="B728" s="9"/>
      <c r="C728" s="9"/>
      <c r="D728" s="4"/>
      <c r="E728" s="4"/>
      <c r="F728" s="4"/>
      <c r="G728" s="4"/>
      <c r="H728" s="4"/>
      <c r="I728" s="4"/>
      <c r="J728" s="4"/>
      <c r="K728" s="4"/>
      <c r="L728" s="38"/>
      <c r="M728" s="4"/>
      <c r="N728" s="4"/>
      <c r="O728" s="4"/>
      <c r="P728" s="4"/>
      <c r="Q728" s="4"/>
      <c r="R728" s="4"/>
      <c r="S728" s="4"/>
      <c r="T728" s="4"/>
      <c r="U728" s="4"/>
      <c r="V728" s="4"/>
      <c r="W728" s="4"/>
      <c r="X728" s="4"/>
      <c r="Y728" s="4"/>
      <c r="Z728" s="4"/>
      <c r="AA728" s="4"/>
      <c r="AB728" s="4"/>
    </row>
    <row r="729" spans="1:28" ht="13.5" customHeight="1">
      <c r="A729" s="4"/>
      <c r="B729" s="9"/>
      <c r="C729" s="9"/>
      <c r="D729" s="4"/>
      <c r="E729" s="4"/>
      <c r="F729" s="4"/>
      <c r="G729" s="4"/>
      <c r="H729" s="4"/>
      <c r="I729" s="4"/>
      <c r="J729" s="4"/>
      <c r="K729" s="4"/>
      <c r="L729" s="38"/>
      <c r="M729" s="4"/>
      <c r="N729" s="4"/>
      <c r="O729" s="4"/>
      <c r="P729" s="4"/>
      <c r="Q729" s="4"/>
      <c r="R729" s="4"/>
      <c r="S729" s="4"/>
      <c r="T729" s="4"/>
      <c r="U729" s="4"/>
      <c r="V729" s="4"/>
      <c r="W729" s="4"/>
      <c r="X729" s="4"/>
      <c r="Y729" s="4"/>
      <c r="Z729" s="4"/>
      <c r="AA729" s="4"/>
      <c r="AB729" s="4"/>
    </row>
    <row r="730" spans="1:28" ht="13.5" customHeight="1">
      <c r="A730" s="4"/>
      <c r="B730" s="9"/>
      <c r="C730" s="9"/>
      <c r="D730" s="4"/>
      <c r="E730" s="4"/>
      <c r="F730" s="4"/>
      <c r="G730" s="4"/>
      <c r="H730" s="4"/>
      <c r="I730" s="4"/>
      <c r="J730" s="4"/>
      <c r="K730" s="4"/>
      <c r="L730" s="38"/>
      <c r="M730" s="4"/>
      <c r="N730" s="4"/>
      <c r="O730" s="4"/>
      <c r="P730" s="4"/>
      <c r="Q730" s="4"/>
      <c r="R730" s="4"/>
      <c r="S730" s="4"/>
      <c r="T730" s="4"/>
      <c r="U730" s="4"/>
      <c r="V730" s="4"/>
      <c r="W730" s="4"/>
      <c r="X730" s="4"/>
      <c r="Y730" s="4"/>
      <c r="Z730" s="4"/>
      <c r="AA730" s="4"/>
      <c r="AB730" s="4"/>
    </row>
    <row r="731" spans="1:28" ht="13.5" customHeight="1">
      <c r="A731" s="4"/>
      <c r="B731" s="9"/>
      <c r="C731" s="9"/>
      <c r="D731" s="4"/>
      <c r="E731" s="4"/>
      <c r="F731" s="4"/>
      <c r="G731" s="4"/>
      <c r="H731" s="4"/>
      <c r="I731" s="4"/>
      <c r="J731" s="4"/>
      <c r="K731" s="4"/>
      <c r="L731" s="38"/>
      <c r="M731" s="4"/>
      <c r="N731" s="4"/>
      <c r="O731" s="4"/>
      <c r="P731" s="4"/>
      <c r="Q731" s="4"/>
      <c r="R731" s="4"/>
      <c r="S731" s="4"/>
      <c r="T731" s="4"/>
      <c r="U731" s="4"/>
      <c r="V731" s="4"/>
      <c r="W731" s="4"/>
      <c r="X731" s="4"/>
      <c r="Y731" s="4"/>
      <c r="Z731" s="4"/>
      <c r="AA731" s="4"/>
      <c r="AB731" s="4"/>
    </row>
    <row r="732" spans="1:28" ht="13.5" customHeight="1">
      <c r="A732" s="4"/>
      <c r="B732" s="9"/>
      <c r="C732" s="9"/>
      <c r="D732" s="4"/>
      <c r="E732" s="4"/>
      <c r="F732" s="4"/>
      <c r="G732" s="4"/>
      <c r="H732" s="4"/>
      <c r="I732" s="4"/>
      <c r="J732" s="4"/>
      <c r="K732" s="4"/>
      <c r="L732" s="38"/>
      <c r="M732" s="4"/>
      <c r="N732" s="4"/>
      <c r="O732" s="4"/>
      <c r="P732" s="4"/>
      <c r="Q732" s="4"/>
      <c r="R732" s="4"/>
      <c r="S732" s="4"/>
      <c r="T732" s="4"/>
      <c r="U732" s="4"/>
      <c r="V732" s="4"/>
      <c r="W732" s="4"/>
      <c r="X732" s="4"/>
      <c r="Y732" s="4"/>
      <c r="Z732" s="4"/>
      <c r="AA732" s="4"/>
      <c r="AB732" s="4"/>
    </row>
    <row r="733" spans="1:28" ht="13.5" customHeight="1">
      <c r="A733" s="4"/>
      <c r="B733" s="9"/>
      <c r="C733" s="9"/>
      <c r="D733" s="4"/>
      <c r="E733" s="4"/>
      <c r="F733" s="4"/>
      <c r="G733" s="4"/>
      <c r="H733" s="4"/>
      <c r="I733" s="4"/>
      <c r="J733" s="4"/>
      <c r="K733" s="4"/>
      <c r="L733" s="38"/>
      <c r="M733" s="4"/>
      <c r="N733" s="4"/>
      <c r="O733" s="4"/>
      <c r="P733" s="4"/>
      <c r="Q733" s="4"/>
      <c r="R733" s="4"/>
      <c r="S733" s="4"/>
      <c r="T733" s="4"/>
      <c r="U733" s="4"/>
      <c r="V733" s="4"/>
      <c r="W733" s="4"/>
      <c r="X733" s="4"/>
      <c r="Y733" s="4"/>
      <c r="Z733" s="4"/>
      <c r="AA733" s="4"/>
      <c r="AB733" s="4"/>
    </row>
    <row r="734" spans="1:28" ht="13.5" customHeight="1">
      <c r="A734" s="4"/>
      <c r="B734" s="9"/>
      <c r="C734" s="9"/>
      <c r="D734" s="4"/>
      <c r="E734" s="4"/>
      <c r="F734" s="4"/>
      <c r="G734" s="4"/>
      <c r="H734" s="4"/>
      <c r="I734" s="4"/>
      <c r="J734" s="4"/>
      <c r="K734" s="4"/>
      <c r="L734" s="38"/>
      <c r="M734" s="4"/>
      <c r="N734" s="4"/>
      <c r="O734" s="4"/>
      <c r="P734" s="4"/>
      <c r="Q734" s="4"/>
      <c r="R734" s="4"/>
      <c r="S734" s="4"/>
      <c r="T734" s="4"/>
      <c r="U734" s="4"/>
      <c r="V734" s="4"/>
      <c r="W734" s="4"/>
      <c r="X734" s="4"/>
      <c r="Y734" s="4"/>
      <c r="Z734" s="4"/>
      <c r="AA734" s="4"/>
      <c r="AB734" s="4"/>
    </row>
    <row r="735" spans="1:28" ht="13.5" customHeight="1">
      <c r="A735" s="4"/>
      <c r="B735" s="9"/>
      <c r="C735" s="9"/>
      <c r="D735" s="4"/>
      <c r="E735" s="4"/>
      <c r="F735" s="4"/>
      <c r="G735" s="4"/>
      <c r="H735" s="4"/>
      <c r="I735" s="4"/>
      <c r="J735" s="4"/>
      <c r="K735" s="4"/>
      <c r="L735" s="38"/>
      <c r="M735" s="4"/>
      <c r="N735" s="4"/>
      <c r="O735" s="4"/>
      <c r="P735" s="4"/>
      <c r="Q735" s="4"/>
      <c r="R735" s="4"/>
      <c r="S735" s="4"/>
      <c r="T735" s="4"/>
      <c r="U735" s="4"/>
      <c r="V735" s="4"/>
      <c r="W735" s="4"/>
      <c r="X735" s="4"/>
      <c r="Y735" s="4"/>
      <c r="Z735" s="4"/>
      <c r="AA735" s="4"/>
      <c r="AB735" s="4"/>
    </row>
    <row r="736" spans="1:28" ht="13.5" customHeight="1">
      <c r="A736" s="4"/>
      <c r="B736" s="9"/>
      <c r="C736" s="9"/>
      <c r="D736" s="4"/>
      <c r="E736" s="4"/>
      <c r="F736" s="4"/>
      <c r="G736" s="4"/>
      <c r="H736" s="4"/>
      <c r="I736" s="4"/>
      <c r="J736" s="4"/>
      <c r="K736" s="4"/>
      <c r="L736" s="38"/>
      <c r="M736" s="4"/>
      <c r="N736" s="4"/>
      <c r="O736" s="4"/>
      <c r="P736" s="4"/>
      <c r="Q736" s="4"/>
      <c r="R736" s="4"/>
      <c r="S736" s="4"/>
      <c r="T736" s="4"/>
      <c r="U736" s="4"/>
      <c r="V736" s="4"/>
      <c r="W736" s="4"/>
      <c r="X736" s="4"/>
      <c r="Y736" s="4"/>
      <c r="Z736" s="4"/>
      <c r="AA736" s="4"/>
      <c r="AB736" s="4"/>
    </row>
    <row r="737" spans="1:28" ht="13.5" customHeight="1">
      <c r="A737" s="4"/>
      <c r="B737" s="9"/>
      <c r="C737" s="9"/>
      <c r="D737" s="4"/>
      <c r="E737" s="4"/>
      <c r="F737" s="4"/>
      <c r="G737" s="4"/>
      <c r="H737" s="4"/>
      <c r="I737" s="4"/>
      <c r="J737" s="4"/>
      <c r="K737" s="4"/>
      <c r="L737" s="38"/>
      <c r="M737" s="4"/>
      <c r="N737" s="4"/>
      <c r="O737" s="4"/>
      <c r="P737" s="4"/>
      <c r="Q737" s="4"/>
      <c r="R737" s="4"/>
      <c r="S737" s="4"/>
      <c r="T737" s="4"/>
      <c r="U737" s="4"/>
      <c r="V737" s="4"/>
      <c r="W737" s="4"/>
      <c r="X737" s="4"/>
      <c r="Y737" s="4"/>
      <c r="Z737" s="4"/>
      <c r="AA737" s="4"/>
      <c r="AB737" s="4"/>
    </row>
    <row r="738" spans="1:28" ht="13.5" customHeight="1">
      <c r="A738" s="4"/>
      <c r="B738" s="9"/>
      <c r="C738" s="9"/>
      <c r="D738" s="4"/>
      <c r="E738" s="4"/>
      <c r="F738" s="4"/>
      <c r="G738" s="4"/>
      <c r="H738" s="4"/>
      <c r="I738" s="4"/>
      <c r="J738" s="4"/>
      <c r="K738" s="4"/>
      <c r="L738" s="38"/>
      <c r="M738" s="4"/>
      <c r="N738" s="4"/>
      <c r="O738" s="4"/>
      <c r="P738" s="4"/>
      <c r="Q738" s="4"/>
      <c r="R738" s="4"/>
      <c r="S738" s="4"/>
      <c r="T738" s="4"/>
      <c r="U738" s="4"/>
      <c r="V738" s="4"/>
      <c r="W738" s="4"/>
      <c r="X738" s="4"/>
      <c r="Y738" s="4"/>
      <c r="Z738" s="4"/>
      <c r="AA738" s="4"/>
      <c r="AB738" s="4"/>
    </row>
    <row r="739" spans="1:28" ht="13.5" customHeight="1">
      <c r="A739" s="4"/>
      <c r="B739" s="9"/>
      <c r="C739" s="9"/>
      <c r="D739" s="4"/>
      <c r="E739" s="4"/>
      <c r="F739" s="4"/>
      <c r="G739" s="4"/>
      <c r="H739" s="4"/>
      <c r="I739" s="4"/>
      <c r="J739" s="4"/>
      <c r="K739" s="4"/>
      <c r="L739" s="38"/>
      <c r="M739" s="4"/>
      <c r="N739" s="4"/>
      <c r="O739" s="4"/>
      <c r="P739" s="4"/>
      <c r="Q739" s="4"/>
      <c r="R739" s="4"/>
      <c r="S739" s="4"/>
      <c r="T739" s="4"/>
      <c r="U739" s="4"/>
      <c r="V739" s="4"/>
      <c r="W739" s="4"/>
      <c r="X739" s="4"/>
      <c r="Y739" s="4"/>
      <c r="Z739" s="4"/>
      <c r="AA739" s="4"/>
      <c r="AB739" s="4"/>
    </row>
    <row r="740" spans="1:28" ht="13.5" customHeight="1">
      <c r="A740" s="4"/>
      <c r="B740" s="9"/>
      <c r="C740" s="9"/>
      <c r="D740" s="4"/>
      <c r="E740" s="4"/>
      <c r="F740" s="4"/>
      <c r="G740" s="4"/>
      <c r="H740" s="4"/>
      <c r="I740" s="4"/>
      <c r="J740" s="4"/>
      <c r="K740" s="4"/>
      <c r="L740" s="38"/>
      <c r="M740" s="4"/>
      <c r="N740" s="4"/>
      <c r="O740" s="4"/>
      <c r="P740" s="4"/>
      <c r="Q740" s="4"/>
      <c r="R740" s="4"/>
      <c r="S740" s="4"/>
      <c r="T740" s="4"/>
      <c r="U740" s="4"/>
      <c r="V740" s="4"/>
      <c r="W740" s="4"/>
      <c r="X740" s="4"/>
      <c r="Y740" s="4"/>
      <c r="Z740" s="4"/>
      <c r="AA740" s="4"/>
      <c r="AB740" s="4"/>
    </row>
    <row r="741" spans="1:28" ht="13.5" customHeight="1">
      <c r="A741" s="4"/>
      <c r="B741" s="9"/>
      <c r="C741" s="9"/>
      <c r="D741" s="4"/>
      <c r="E741" s="4"/>
      <c r="F741" s="4"/>
      <c r="G741" s="4"/>
      <c r="H741" s="4"/>
      <c r="I741" s="4"/>
      <c r="J741" s="4"/>
      <c r="K741" s="4"/>
      <c r="L741" s="38"/>
      <c r="M741" s="4"/>
      <c r="N741" s="4"/>
      <c r="O741" s="4"/>
      <c r="P741" s="4"/>
      <c r="Q741" s="4"/>
      <c r="R741" s="4"/>
      <c r="S741" s="4"/>
      <c r="T741" s="4"/>
      <c r="U741" s="4"/>
      <c r="V741" s="4"/>
      <c r="W741" s="4"/>
      <c r="X741" s="4"/>
      <c r="Y741" s="4"/>
      <c r="Z741" s="4"/>
      <c r="AA741" s="4"/>
      <c r="AB741" s="4"/>
    </row>
    <row r="742" spans="1:28" ht="13.5" customHeight="1">
      <c r="A742" s="4"/>
      <c r="B742" s="9"/>
      <c r="C742" s="9"/>
      <c r="D742" s="4"/>
      <c r="E742" s="4"/>
      <c r="F742" s="4"/>
      <c r="G742" s="4"/>
      <c r="H742" s="4"/>
      <c r="I742" s="4"/>
      <c r="J742" s="4"/>
      <c r="K742" s="4"/>
      <c r="L742" s="38"/>
      <c r="M742" s="4"/>
      <c r="N742" s="4"/>
      <c r="O742" s="4"/>
      <c r="P742" s="4"/>
      <c r="Q742" s="4"/>
      <c r="R742" s="4"/>
      <c r="S742" s="4"/>
      <c r="T742" s="4"/>
      <c r="U742" s="4"/>
      <c r="V742" s="4"/>
      <c r="W742" s="4"/>
      <c r="X742" s="4"/>
      <c r="Y742" s="4"/>
      <c r="Z742" s="4"/>
      <c r="AA742" s="4"/>
      <c r="AB742" s="4"/>
    </row>
    <row r="743" spans="1:28" ht="13.5" customHeight="1">
      <c r="A743" s="4"/>
      <c r="B743" s="9"/>
      <c r="C743" s="9"/>
      <c r="D743" s="4"/>
      <c r="E743" s="4"/>
      <c r="F743" s="4"/>
      <c r="G743" s="4"/>
      <c r="H743" s="4"/>
      <c r="I743" s="4"/>
      <c r="J743" s="4"/>
      <c r="K743" s="4"/>
      <c r="L743" s="38"/>
      <c r="M743" s="4"/>
      <c r="N743" s="4"/>
      <c r="O743" s="4"/>
      <c r="P743" s="4"/>
      <c r="Q743" s="4"/>
      <c r="R743" s="4"/>
      <c r="S743" s="4"/>
      <c r="T743" s="4"/>
      <c r="U743" s="4"/>
      <c r="V743" s="4"/>
      <c r="W743" s="4"/>
      <c r="X743" s="4"/>
      <c r="Y743" s="4"/>
      <c r="Z743" s="4"/>
      <c r="AA743" s="4"/>
      <c r="AB743" s="4"/>
    </row>
    <row r="744" spans="1:28" ht="13.5" customHeight="1">
      <c r="A744" s="4"/>
      <c r="B744" s="9"/>
      <c r="C744" s="9"/>
      <c r="D744" s="4"/>
      <c r="E744" s="4"/>
      <c r="F744" s="4"/>
      <c r="G744" s="4"/>
      <c r="H744" s="4"/>
      <c r="I744" s="4"/>
      <c r="J744" s="4"/>
      <c r="K744" s="4"/>
      <c r="L744" s="38"/>
      <c r="M744" s="4"/>
      <c r="N744" s="4"/>
      <c r="O744" s="4"/>
      <c r="P744" s="4"/>
      <c r="Q744" s="4"/>
      <c r="R744" s="4"/>
      <c r="S744" s="4"/>
      <c r="T744" s="4"/>
      <c r="U744" s="4"/>
      <c r="V744" s="4"/>
      <c r="W744" s="4"/>
      <c r="X744" s="4"/>
      <c r="Y744" s="4"/>
      <c r="Z744" s="4"/>
      <c r="AA744" s="4"/>
      <c r="AB744" s="4"/>
    </row>
    <row r="745" spans="1:28" ht="13.5" customHeight="1">
      <c r="A745" s="4"/>
      <c r="B745" s="9"/>
      <c r="C745" s="9"/>
      <c r="D745" s="4"/>
      <c r="E745" s="4"/>
      <c r="F745" s="4"/>
      <c r="G745" s="4"/>
      <c r="H745" s="4"/>
      <c r="I745" s="4"/>
      <c r="J745" s="4"/>
      <c r="K745" s="4"/>
      <c r="L745" s="38"/>
      <c r="M745" s="4"/>
      <c r="N745" s="4"/>
      <c r="O745" s="4"/>
      <c r="P745" s="4"/>
      <c r="Q745" s="4"/>
      <c r="R745" s="4"/>
      <c r="S745" s="4"/>
      <c r="T745" s="4"/>
      <c r="U745" s="4"/>
      <c r="V745" s="4"/>
      <c r="W745" s="4"/>
      <c r="X745" s="4"/>
      <c r="Y745" s="4"/>
      <c r="Z745" s="4"/>
      <c r="AA745" s="4"/>
      <c r="AB745" s="4"/>
    </row>
    <row r="746" spans="1:28" ht="13.5" customHeight="1">
      <c r="A746" s="4"/>
      <c r="B746" s="9"/>
      <c r="C746" s="9"/>
      <c r="D746" s="4"/>
      <c r="E746" s="4"/>
      <c r="F746" s="4"/>
      <c r="G746" s="4"/>
      <c r="H746" s="4"/>
      <c r="I746" s="4"/>
      <c r="J746" s="4"/>
      <c r="K746" s="4"/>
      <c r="L746" s="38"/>
      <c r="M746" s="4"/>
      <c r="N746" s="4"/>
      <c r="O746" s="4"/>
      <c r="P746" s="4"/>
      <c r="Q746" s="4"/>
      <c r="R746" s="4"/>
      <c r="S746" s="4"/>
      <c r="T746" s="4"/>
      <c r="U746" s="4"/>
      <c r="V746" s="4"/>
      <c r="W746" s="4"/>
      <c r="X746" s="4"/>
      <c r="Y746" s="4"/>
      <c r="Z746" s="4"/>
      <c r="AA746" s="4"/>
      <c r="AB746" s="4"/>
    </row>
    <row r="747" spans="1:28" ht="13.5" customHeight="1">
      <c r="A747" s="4"/>
      <c r="B747" s="9"/>
      <c r="C747" s="9"/>
      <c r="D747" s="4"/>
      <c r="E747" s="4"/>
      <c r="F747" s="4"/>
      <c r="G747" s="4"/>
      <c r="H747" s="4"/>
      <c r="I747" s="4"/>
      <c r="J747" s="4"/>
      <c r="K747" s="4"/>
      <c r="L747" s="38"/>
      <c r="M747" s="4"/>
      <c r="N747" s="4"/>
      <c r="O747" s="4"/>
      <c r="P747" s="4"/>
      <c r="Q747" s="4"/>
      <c r="R747" s="4"/>
      <c r="S747" s="4"/>
      <c r="T747" s="4"/>
      <c r="U747" s="4"/>
      <c r="V747" s="4"/>
      <c r="W747" s="4"/>
      <c r="X747" s="4"/>
      <c r="Y747" s="4"/>
      <c r="Z747" s="4"/>
      <c r="AA747" s="4"/>
      <c r="AB747" s="4"/>
    </row>
    <row r="748" spans="1:28" ht="13.5" customHeight="1">
      <c r="A748" s="4"/>
      <c r="B748" s="9"/>
      <c r="C748" s="9"/>
      <c r="D748" s="4"/>
      <c r="E748" s="4"/>
      <c r="F748" s="4"/>
      <c r="G748" s="4"/>
      <c r="H748" s="4"/>
      <c r="I748" s="4"/>
      <c r="J748" s="4"/>
      <c r="K748" s="4"/>
      <c r="L748" s="38"/>
      <c r="M748" s="4"/>
      <c r="N748" s="4"/>
      <c r="O748" s="4"/>
      <c r="P748" s="4"/>
      <c r="Q748" s="4"/>
      <c r="R748" s="4"/>
      <c r="S748" s="4"/>
      <c r="T748" s="4"/>
      <c r="U748" s="4"/>
      <c r="V748" s="4"/>
      <c r="W748" s="4"/>
      <c r="X748" s="4"/>
      <c r="Y748" s="4"/>
      <c r="Z748" s="4"/>
      <c r="AA748" s="4"/>
      <c r="AB748" s="4"/>
    </row>
    <row r="749" spans="1:28" ht="13.5" customHeight="1">
      <c r="A749" s="4"/>
      <c r="B749" s="9"/>
      <c r="C749" s="9"/>
      <c r="D749" s="4"/>
      <c r="E749" s="4"/>
      <c r="F749" s="4"/>
      <c r="G749" s="4"/>
      <c r="H749" s="4"/>
      <c r="I749" s="4"/>
      <c r="J749" s="4"/>
      <c r="K749" s="4"/>
      <c r="L749" s="38"/>
      <c r="M749" s="4"/>
      <c r="N749" s="4"/>
      <c r="O749" s="4"/>
      <c r="P749" s="4"/>
      <c r="Q749" s="4"/>
      <c r="R749" s="4"/>
      <c r="S749" s="4"/>
      <c r="T749" s="4"/>
      <c r="U749" s="4"/>
      <c r="V749" s="4"/>
      <c r="W749" s="4"/>
      <c r="X749" s="4"/>
      <c r="Y749" s="4"/>
      <c r="Z749" s="4"/>
      <c r="AA749" s="4"/>
      <c r="AB749" s="4"/>
    </row>
    <row r="750" spans="1:28" ht="13.5" customHeight="1">
      <c r="A750" s="4"/>
      <c r="B750" s="9"/>
      <c r="C750" s="9"/>
      <c r="D750" s="4"/>
      <c r="E750" s="4"/>
      <c r="F750" s="4"/>
      <c r="G750" s="4"/>
      <c r="H750" s="4"/>
      <c r="I750" s="4"/>
      <c r="J750" s="4"/>
      <c r="K750" s="4"/>
      <c r="L750" s="38"/>
      <c r="M750" s="4"/>
      <c r="N750" s="4"/>
      <c r="O750" s="4"/>
      <c r="P750" s="4"/>
      <c r="Q750" s="4"/>
      <c r="R750" s="4"/>
      <c r="S750" s="4"/>
      <c r="T750" s="4"/>
      <c r="U750" s="4"/>
      <c r="V750" s="4"/>
      <c r="W750" s="4"/>
      <c r="X750" s="4"/>
      <c r="Y750" s="4"/>
      <c r="Z750" s="4"/>
      <c r="AA750" s="4"/>
      <c r="AB750" s="4"/>
    </row>
    <row r="751" spans="1:28" ht="13.5" customHeight="1">
      <c r="A751" s="4"/>
      <c r="B751" s="9"/>
      <c r="C751" s="9"/>
      <c r="D751" s="4"/>
      <c r="E751" s="4"/>
      <c r="F751" s="4"/>
      <c r="G751" s="4"/>
      <c r="H751" s="4"/>
      <c r="I751" s="4"/>
      <c r="J751" s="4"/>
      <c r="K751" s="4"/>
      <c r="L751" s="38"/>
      <c r="M751" s="4"/>
      <c r="N751" s="4"/>
      <c r="O751" s="4"/>
      <c r="P751" s="4"/>
      <c r="Q751" s="4"/>
      <c r="R751" s="4"/>
      <c r="S751" s="4"/>
      <c r="T751" s="4"/>
      <c r="U751" s="4"/>
      <c r="V751" s="4"/>
      <c r="W751" s="4"/>
      <c r="X751" s="4"/>
      <c r="Y751" s="4"/>
      <c r="Z751" s="4"/>
      <c r="AA751" s="4"/>
      <c r="AB751" s="4"/>
    </row>
    <row r="752" spans="1:28" ht="13.5" customHeight="1">
      <c r="A752" s="4"/>
      <c r="B752" s="9"/>
      <c r="C752" s="9"/>
      <c r="D752" s="4"/>
      <c r="E752" s="4"/>
      <c r="F752" s="4"/>
      <c r="G752" s="4"/>
      <c r="H752" s="4"/>
      <c r="I752" s="4"/>
      <c r="J752" s="4"/>
      <c r="K752" s="4"/>
      <c r="L752" s="38"/>
      <c r="M752" s="4"/>
      <c r="N752" s="4"/>
      <c r="O752" s="4"/>
      <c r="P752" s="4"/>
      <c r="Q752" s="4"/>
      <c r="R752" s="4"/>
      <c r="S752" s="4"/>
      <c r="T752" s="4"/>
      <c r="U752" s="4"/>
      <c r="V752" s="4"/>
      <c r="W752" s="4"/>
      <c r="X752" s="4"/>
      <c r="Y752" s="4"/>
      <c r="Z752" s="4"/>
      <c r="AA752" s="4"/>
      <c r="AB752" s="4"/>
    </row>
    <row r="753" spans="1:28" ht="13.5" customHeight="1">
      <c r="A753" s="4"/>
      <c r="B753" s="9"/>
      <c r="C753" s="9"/>
      <c r="D753" s="4"/>
      <c r="E753" s="4"/>
      <c r="F753" s="4"/>
      <c r="G753" s="4"/>
      <c r="H753" s="4"/>
      <c r="I753" s="4"/>
      <c r="J753" s="4"/>
      <c r="K753" s="4"/>
      <c r="L753" s="38"/>
      <c r="M753" s="4"/>
      <c r="N753" s="4"/>
      <c r="O753" s="4"/>
      <c r="P753" s="4"/>
      <c r="Q753" s="4"/>
      <c r="R753" s="4"/>
      <c r="S753" s="4"/>
      <c r="T753" s="4"/>
      <c r="U753" s="4"/>
      <c r="V753" s="4"/>
      <c r="W753" s="4"/>
      <c r="X753" s="4"/>
      <c r="Y753" s="4"/>
      <c r="Z753" s="4"/>
      <c r="AA753" s="4"/>
      <c r="AB753" s="4"/>
    </row>
    <row r="754" spans="1:28" ht="13.5" customHeight="1">
      <c r="A754" s="4"/>
      <c r="B754" s="9"/>
      <c r="C754" s="9"/>
      <c r="D754" s="4"/>
      <c r="E754" s="4"/>
      <c r="F754" s="4"/>
      <c r="G754" s="4"/>
      <c r="H754" s="4"/>
      <c r="I754" s="4"/>
      <c r="J754" s="4"/>
      <c r="K754" s="4"/>
      <c r="L754" s="38"/>
      <c r="M754" s="4"/>
      <c r="N754" s="4"/>
      <c r="O754" s="4"/>
      <c r="P754" s="4"/>
      <c r="Q754" s="4"/>
      <c r="R754" s="4"/>
      <c r="S754" s="4"/>
      <c r="T754" s="4"/>
      <c r="U754" s="4"/>
      <c r="V754" s="4"/>
      <c r="W754" s="4"/>
      <c r="X754" s="4"/>
      <c r="Y754" s="4"/>
      <c r="Z754" s="4"/>
      <c r="AA754" s="4"/>
      <c r="AB754" s="4"/>
    </row>
    <row r="755" spans="1:28" ht="13.5" customHeight="1">
      <c r="A755" s="4"/>
      <c r="B755" s="9"/>
      <c r="C755" s="9"/>
      <c r="D755" s="4"/>
      <c r="E755" s="4"/>
      <c r="F755" s="4"/>
      <c r="G755" s="4"/>
      <c r="H755" s="4"/>
      <c r="I755" s="4"/>
      <c r="J755" s="4"/>
      <c r="K755" s="4"/>
      <c r="L755" s="38"/>
      <c r="M755" s="4"/>
      <c r="N755" s="4"/>
      <c r="O755" s="4"/>
      <c r="P755" s="4"/>
      <c r="Q755" s="4"/>
      <c r="R755" s="4"/>
      <c r="S755" s="4"/>
      <c r="T755" s="4"/>
      <c r="U755" s="4"/>
      <c r="V755" s="4"/>
      <c r="W755" s="4"/>
      <c r="X755" s="4"/>
      <c r="Y755" s="4"/>
      <c r="Z755" s="4"/>
      <c r="AA755" s="4"/>
      <c r="AB755" s="4"/>
    </row>
    <row r="756" spans="1:28" ht="13.5" customHeight="1">
      <c r="A756" s="4"/>
      <c r="B756" s="9"/>
      <c r="C756" s="9"/>
      <c r="D756" s="4"/>
      <c r="E756" s="4"/>
      <c r="F756" s="4"/>
      <c r="G756" s="4"/>
      <c r="H756" s="4"/>
      <c r="I756" s="4"/>
      <c r="J756" s="4"/>
      <c r="K756" s="4"/>
      <c r="L756" s="38"/>
      <c r="M756" s="4"/>
      <c r="N756" s="4"/>
      <c r="O756" s="4"/>
      <c r="P756" s="4"/>
      <c r="Q756" s="4"/>
      <c r="R756" s="4"/>
      <c r="S756" s="4"/>
      <c r="T756" s="4"/>
      <c r="U756" s="4"/>
      <c r="V756" s="4"/>
      <c r="W756" s="4"/>
      <c r="X756" s="4"/>
      <c r="Y756" s="4"/>
      <c r="Z756" s="4"/>
      <c r="AA756" s="4"/>
      <c r="AB756" s="4"/>
    </row>
    <row r="757" spans="1:28" ht="13.5" customHeight="1">
      <c r="A757" s="4"/>
      <c r="B757" s="9"/>
      <c r="C757" s="9"/>
      <c r="D757" s="4"/>
      <c r="E757" s="4"/>
      <c r="F757" s="4"/>
      <c r="G757" s="4"/>
      <c r="H757" s="4"/>
      <c r="I757" s="4"/>
      <c r="J757" s="4"/>
      <c r="K757" s="4"/>
      <c r="L757" s="38"/>
      <c r="M757" s="4"/>
      <c r="N757" s="4"/>
      <c r="O757" s="4"/>
      <c r="P757" s="4"/>
      <c r="Q757" s="4"/>
      <c r="R757" s="4"/>
      <c r="S757" s="4"/>
      <c r="T757" s="4"/>
      <c r="U757" s="4"/>
      <c r="V757" s="4"/>
      <c r="W757" s="4"/>
      <c r="X757" s="4"/>
      <c r="Y757" s="4"/>
      <c r="Z757" s="4"/>
      <c r="AA757" s="4"/>
      <c r="AB757" s="4"/>
    </row>
    <row r="758" spans="1:28" ht="13.5" customHeight="1">
      <c r="A758" s="4"/>
      <c r="B758" s="9"/>
      <c r="C758" s="9"/>
      <c r="D758" s="4"/>
      <c r="E758" s="4"/>
      <c r="F758" s="4"/>
      <c r="G758" s="4"/>
      <c r="H758" s="4"/>
      <c r="I758" s="4"/>
      <c r="J758" s="4"/>
      <c r="K758" s="4"/>
      <c r="L758" s="38"/>
      <c r="M758" s="4"/>
      <c r="N758" s="4"/>
      <c r="O758" s="4"/>
      <c r="P758" s="4"/>
      <c r="Q758" s="4"/>
      <c r="R758" s="4"/>
      <c r="S758" s="4"/>
      <c r="T758" s="4"/>
      <c r="U758" s="4"/>
      <c r="V758" s="4"/>
      <c r="W758" s="4"/>
      <c r="X758" s="4"/>
      <c r="Y758" s="4"/>
      <c r="Z758" s="4"/>
      <c r="AA758" s="4"/>
      <c r="AB758" s="4"/>
    </row>
    <row r="759" spans="1:28" ht="13.5" customHeight="1">
      <c r="A759" s="4"/>
      <c r="B759" s="9"/>
      <c r="C759" s="9"/>
      <c r="D759" s="4"/>
      <c r="E759" s="4"/>
      <c r="F759" s="4"/>
      <c r="G759" s="4"/>
      <c r="H759" s="4"/>
      <c r="I759" s="4"/>
      <c r="J759" s="4"/>
      <c r="K759" s="4"/>
      <c r="L759" s="38"/>
      <c r="M759" s="4"/>
      <c r="N759" s="4"/>
      <c r="O759" s="4"/>
      <c r="P759" s="4"/>
      <c r="Q759" s="4"/>
      <c r="R759" s="4"/>
      <c r="S759" s="4"/>
      <c r="T759" s="4"/>
      <c r="U759" s="4"/>
      <c r="V759" s="4"/>
      <c r="W759" s="4"/>
      <c r="X759" s="4"/>
      <c r="Y759" s="4"/>
      <c r="Z759" s="4"/>
      <c r="AA759" s="4"/>
      <c r="AB759" s="4"/>
    </row>
    <row r="760" spans="1:28" ht="13.5" customHeight="1">
      <c r="A760" s="4"/>
      <c r="B760" s="9"/>
      <c r="C760" s="9"/>
      <c r="D760" s="4"/>
      <c r="E760" s="4"/>
      <c r="F760" s="4"/>
      <c r="G760" s="4"/>
      <c r="H760" s="4"/>
      <c r="I760" s="4"/>
      <c r="J760" s="4"/>
      <c r="K760" s="4"/>
      <c r="L760" s="38"/>
      <c r="M760" s="4"/>
      <c r="N760" s="4"/>
      <c r="O760" s="4"/>
      <c r="P760" s="4"/>
      <c r="Q760" s="4"/>
      <c r="R760" s="4"/>
      <c r="S760" s="4"/>
      <c r="T760" s="4"/>
      <c r="U760" s="4"/>
      <c r="V760" s="4"/>
      <c r="W760" s="4"/>
      <c r="X760" s="4"/>
      <c r="Y760" s="4"/>
      <c r="Z760" s="4"/>
      <c r="AA760" s="4"/>
      <c r="AB760" s="4"/>
    </row>
    <row r="761" spans="1:28" ht="13.5" customHeight="1">
      <c r="A761" s="4"/>
      <c r="B761" s="9"/>
      <c r="C761" s="9"/>
      <c r="D761" s="4"/>
      <c r="E761" s="4"/>
      <c r="F761" s="4"/>
      <c r="G761" s="4"/>
      <c r="H761" s="4"/>
      <c r="I761" s="4"/>
      <c r="J761" s="4"/>
      <c r="K761" s="4"/>
      <c r="L761" s="38"/>
      <c r="M761" s="4"/>
      <c r="N761" s="4"/>
      <c r="O761" s="4"/>
      <c r="P761" s="4"/>
      <c r="Q761" s="4"/>
      <c r="R761" s="4"/>
      <c r="S761" s="4"/>
      <c r="T761" s="4"/>
      <c r="U761" s="4"/>
      <c r="V761" s="4"/>
      <c r="W761" s="4"/>
      <c r="X761" s="4"/>
      <c r="Y761" s="4"/>
      <c r="Z761" s="4"/>
      <c r="AA761" s="4"/>
      <c r="AB761" s="4"/>
    </row>
    <row r="762" spans="1:28" ht="13.5" customHeight="1">
      <c r="A762" s="4"/>
      <c r="B762" s="9"/>
      <c r="C762" s="9"/>
      <c r="D762" s="4"/>
      <c r="E762" s="4"/>
      <c r="F762" s="4"/>
      <c r="G762" s="4"/>
      <c r="H762" s="4"/>
      <c r="I762" s="4"/>
      <c r="J762" s="4"/>
      <c r="K762" s="4"/>
      <c r="L762" s="38"/>
      <c r="M762" s="4"/>
      <c r="N762" s="4"/>
      <c r="O762" s="4"/>
      <c r="P762" s="4"/>
      <c r="Q762" s="4"/>
      <c r="R762" s="4"/>
      <c r="S762" s="4"/>
      <c r="T762" s="4"/>
      <c r="U762" s="4"/>
      <c r="V762" s="4"/>
      <c r="W762" s="4"/>
      <c r="X762" s="4"/>
      <c r="Y762" s="4"/>
      <c r="Z762" s="4"/>
      <c r="AA762" s="4"/>
      <c r="AB762" s="4"/>
    </row>
    <row r="763" spans="1:28" ht="13.5" customHeight="1">
      <c r="A763" s="4"/>
      <c r="B763" s="9"/>
      <c r="C763" s="9"/>
      <c r="D763" s="4"/>
      <c r="E763" s="4"/>
      <c r="F763" s="4"/>
      <c r="G763" s="4"/>
      <c r="H763" s="4"/>
      <c r="I763" s="4"/>
      <c r="J763" s="4"/>
      <c r="K763" s="4"/>
      <c r="L763" s="38"/>
      <c r="M763" s="4"/>
      <c r="N763" s="4"/>
      <c r="O763" s="4"/>
      <c r="P763" s="4"/>
      <c r="Q763" s="4"/>
      <c r="R763" s="4"/>
      <c r="S763" s="4"/>
      <c r="T763" s="4"/>
      <c r="U763" s="4"/>
      <c r="V763" s="4"/>
      <c r="W763" s="4"/>
      <c r="X763" s="4"/>
      <c r="Y763" s="4"/>
      <c r="Z763" s="4"/>
      <c r="AA763" s="4"/>
      <c r="AB763" s="4"/>
    </row>
    <row r="764" spans="1:28" ht="13.5" customHeight="1">
      <c r="A764" s="4"/>
      <c r="B764" s="9"/>
      <c r="C764" s="9"/>
      <c r="D764" s="4"/>
      <c r="E764" s="4"/>
      <c r="F764" s="4"/>
      <c r="G764" s="4"/>
      <c r="H764" s="4"/>
      <c r="I764" s="4"/>
      <c r="J764" s="4"/>
      <c r="K764" s="4"/>
      <c r="L764" s="38"/>
      <c r="M764" s="4"/>
      <c r="N764" s="4"/>
      <c r="O764" s="4"/>
      <c r="P764" s="4"/>
      <c r="Q764" s="4"/>
      <c r="R764" s="4"/>
      <c r="S764" s="4"/>
      <c r="T764" s="4"/>
      <c r="U764" s="4"/>
      <c r="V764" s="4"/>
      <c r="W764" s="4"/>
      <c r="X764" s="4"/>
      <c r="Y764" s="4"/>
      <c r="Z764" s="4"/>
      <c r="AA764" s="4"/>
      <c r="AB764" s="4"/>
    </row>
    <row r="765" spans="1:28" ht="13.5" customHeight="1">
      <c r="A765" s="4"/>
      <c r="B765" s="9"/>
      <c r="C765" s="9"/>
      <c r="D765" s="4"/>
      <c r="E765" s="4"/>
      <c r="F765" s="4"/>
      <c r="G765" s="4"/>
      <c r="H765" s="4"/>
      <c r="I765" s="4"/>
      <c r="J765" s="4"/>
      <c r="K765" s="4"/>
      <c r="L765" s="38"/>
      <c r="M765" s="4"/>
      <c r="N765" s="4"/>
      <c r="O765" s="4"/>
      <c r="P765" s="4"/>
      <c r="Q765" s="4"/>
      <c r="R765" s="4"/>
      <c r="S765" s="4"/>
      <c r="T765" s="4"/>
      <c r="U765" s="4"/>
      <c r="V765" s="4"/>
      <c r="W765" s="4"/>
      <c r="X765" s="4"/>
      <c r="Y765" s="4"/>
      <c r="Z765" s="4"/>
      <c r="AA765" s="4"/>
      <c r="AB765" s="4"/>
    </row>
    <row r="766" spans="1:28" ht="13.5" customHeight="1">
      <c r="A766" s="4"/>
      <c r="B766" s="9"/>
      <c r="C766" s="9"/>
      <c r="D766" s="4"/>
      <c r="E766" s="4"/>
      <c r="F766" s="4"/>
      <c r="G766" s="4"/>
      <c r="H766" s="4"/>
      <c r="I766" s="4"/>
      <c r="J766" s="4"/>
      <c r="K766" s="4"/>
      <c r="L766" s="38"/>
      <c r="M766" s="4"/>
      <c r="N766" s="4"/>
      <c r="O766" s="4"/>
      <c r="P766" s="4"/>
      <c r="Q766" s="4"/>
      <c r="R766" s="4"/>
      <c r="S766" s="4"/>
      <c r="T766" s="4"/>
      <c r="U766" s="4"/>
      <c r="V766" s="4"/>
      <c r="W766" s="4"/>
      <c r="X766" s="4"/>
      <c r="Y766" s="4"/>
      <c r="Z766" s="4"/>
      <c r="AA766" s="4"/>
      <c r="AB766" s="4"/>
    </row>
    <row r="767" spans="1:28" ht="13.5" customHeight="1">
      <c r="A767" s="4"/>
      <c r="B767" s="9"/>
      <c r="C767" s="9"/>
      <c r="D767" s="4"/>
      <c r="E767" s="4"/>
      <c r="F767" s="4"/>
      <c r="G767" s="4"/>
      <c r="H767" s="4"/>
      <c r="I767" s="4"/>
      <c r="J767" s="4"/>
      <c r="K767" s="4"/>
      <c r="L767" s="38"/>
      <c r="M767" s="4"/>
      <c r="N767" s="4"/>
      <c r="O767" s="4"/>
      <c r="P767" s="4"/>
      <c r="Q767" s="4"/>
      <c r="R767" s="4"/>
      <c r="S767" s="4"/>
      <c r="T767" s="4"/>
      <c r="U767" s="4"/>
      <c r="V767" s="4"/>
      <c r="W767" s="4"/>
      <c r="X767" s="4"/>
      <c r="Y767" s="4"/>
      <c r="Z767" s="4"/>
      <c r="AA767" s="4"/>
      <c r="AB767" s="4"/>
    </row>
    <row r="768" spans="1:28" ht="13.5" customHeight="1">
      <c r="A768" s="4"/>
      <c r="B768" s="9"/>
      <c r="C768" s="9"/>
      <c r="D768" s="4"/>
      <c r="E768" s="4"/>
      <c r="F768" s="4"/>
      <c r="G768" s="4"/>
      <c r="H768" s="4"/>
      <c r="I768" s="4"/>
      <c r="J768" s="4"/>
      <c r="K768" s="4"/>
      <c r="L768" s="38"/>
      <c r="M768" s="4"/>
      <c r="N768" s="4"/>
      <c r="O768" s="4"/>
      <c r="P768" s="4"/>
      <c r="Q768" s="4"/>
      <c r="R768" s="4"/>
      <c r="S768" s="4"/>
      <c r="T768" s="4"/>
      <c r="U768" s="4"/>
      <c r="V768" s="4"/>
      <c r="W768" s="4"/>
      <c r="X768" s="4"/>
      <c r="Y768" s="4"/>
      <c r="Z768" s="4"/>
      <c r="AA768" s="4"/>
      <c r="AB768" s="4"/>
    </row>
    <row r="769" spans="1:28" ht="13.5" customHeight="1">
      <c r="A769" s="4"/>
      <c r="B769" s="9"/>
      <c r="C769" s="9"/>
      <c r="D769" s="4"/>
      <c r="E769" s="4"/>
      <c r="F769" s="4"/>
      <c r="G769" s="4"/>
      <c r="H769" s="4"/>
      <c r="I769" s="4"/>
      <c r="J769" s="4"/>
      <c r="K769" s="4"/>
      <c r="L769" s="38"/>
      <c r="M769" s="4"/>
      <c r="N769" s="4"/>
      <c r="O769" s="4"/>
      <c r="P769" s="4"/>
      <c r="Q769" s="4"/>
      <c r="R769" s="4"/>
      <c r="S769" s="4"/>
      <c r="T769" s="4"/>
      <c r="U769" s="4"/>
      <c r="V769" s="4"/>
      <c r="W769" s="4"/>
      <c r="X769" s="4"/>
      <c r="Y769" s="4"/>
      <c r="Z769" s="4"/>
      <c r="AA769" s="4"/>
      <c r="AB769" s="4"/>
    </row>
    <row r="770" spans="1:28" ht="13.5" customHeight="1">
      <c r="A770" s="4"/>
      <c r="B770" s="9"/>
      <c r="C770" s="9"/>
      <c r="D770" s="4"/>
      <c r="E770" s="4"/>
      <c r="F770" s="4"/>
      <c r="G770" s="4"/>
      <c r="H770" s="4"/>
      <c r="I770" s="4"/>
      <c r="J770" s="4"/>
      <c r="K770" s="4"/>
      <c r="L770" s="38"/>
      <c r="M770" s="4"/>
      <c r="N770" s="4"/>
      <c r="O770" s="4"/>
      <c r="P770" s="4"/>
      <c r="Q770" s="4"/>
      <c r="R770" s="4"/>
      <c r="S770" s="4"/>
      <c r="T770" s="4"/>
      <c r="U770" s="4"/>
      <c r="V770" s="4"/>
      <c r="W770" s="4"/>
      <c r="X770" s="4"/>
      <c r="Y770" s="4"/>
      <c r="Z770" s="4"/>
      <c r="AA770" s="4"/>
      <c r="AB770" s="4"/>
    </row>
    <row r="771" spans="1:28" ht="13.5" customHeight="1">
      <c r="A771" s="4"/>
      <c r="B771" s="9"/>
      <c r="C771" s="9"/>
      <c r="D771" s="4"/>
      <c r="E771" s="4"/>
      <c r="F771" s="4"/>
      <c r="G771" s="4"/>
      <c r="H771" s="4"/>
      <c r="I771" s="4"/>
      <c r="J771" s="4"/>
      <c r="K771" s="4"/>
      <c r="L771" s="38"/>
      <c r="M771" s="4"/>
      <c r="N771" s="4"/>
      <c r="O771" s="4"/>
      <c r="P771" s="4"/>
      <c r="Q771" s="4"/>
      <c r="R771" s="4"/>
      <c r="S771" s="4"/>
      <c r="T771" s="4"/>
      <c r="U771" s="4"/>
      <c r="V771" s="4"/>
      <c r="W771" s="4"/>
      <c r="X771" s="4"/>
      <c r="Y771" s="4"/>
      <c r="Z771" s="4"/>
      <c r="AA771" s="4"/>
      <c r="AB771" s="4"/>
    </row>
    <row r="772" spans="1:28" ht="13.5" customHeight="1">
      <c r="A772" s="4"/>
      <c r="B772" s="9"/>
      <c r="C772" s="9"/>
      <c r="D772" s="4"/>
      <c r="E772" s="4"/>
      <c r="F772" s="4"/>
      <c r="G772" s="4"/>
      <c r="H772" s="4"/>
      <c r="I772" s="4"/>
      <c r="J772" s="4"/>
      <c r="K772" s="4"/>
      <c r="L772" s="38"/>
      <c r="M772" s="4"/>
      <c r="N772" s="4"/>
      <c r="O772" s="4"/>
      <c r="P772" s="4"/>
      <c r="Q772" s="4"/>
      <c r="R772" s="4"/>
      <c r="S772" s="4"/>
      <c r="T772" s="4"/>
      <c r="U772" s="4"/>
      <c r="V772" s="4"/>
      <c r="W772" s="4"/>
      <c r="X772" s="4"/>
      <c r="Y772" s="4"/>
      <c r="Z772" s="4"/>
      <c r="AA772" s="4"/>
      <c r="AB772" s="4"/>
    </row>
    <row r="773" spans="1:28" ht="13.5" customHeight="1">
      <c r="A773" s="4"/>
      <c r="B773" s="9"/>
      <c r="C773" s="9"/>
      <c r="D773" s="4"/>
      <c r="E773" s="4"/>
      <c r="F773" s="4"/>
      <c r="G773" s="4"/>
      <c r="H773" s="4"/>
      <c r="I773" s="4"/>
      <c r="J773" s="4"/>
      <c r="K773" s="4"/>
      <c r="L773" s="38"/>
      <c r="M773" s="4"/>
      <c r="N773" s="4"/>
      <c r="O773" s="4"/>
      <c r="P773" s="4"/>
      <c r="Q773" s="4"/>
      <c r="R773" s="4"/>
      <c r="S773" s="4"/>
      <c r="T773" s="4"/>
      <c r="U773" s="4"/>
      <c r="V773" s="4"/>
      <c r="W773" s="4"/>
      <c r="X773" s="4"/>
      <c r="Y773" s="4"/>
      <c r="Z773" s="4"/>
      <c r="AA773" s="4"/>
      <c r="AB773" s="4"/>
    </row>
    <row r="774" spans="1:28" ht="13.5" customHeight="1">
      <c r="A774" s="4"/>
      <c r="B774" s="9"/>
      <c r="C774" s="9"/>
      <c r="D774" s="4"/>
      <c r="E774" s="4"/>
      <c r="F774" s="4"/>
      <c r="G774" s="4"/>
      <c r="H774" s="4"/>
      <c r="I774" s="4"/>
      <c r="J774" s="4"/>
      <c r="K774" s="4"/>
      <c r="L774" s="38"/>
      <c r="M774" s="4"/>
      <c r="N774" s="4"/>
      <c r="O774" s="4"/>
      <c r="P774" s="4"/>
      <c r="Q774" s="4"/>
      <c r="R774" s="4"/>
      <c r="S774" s="4"/>
      <c r="T774" s="4"/>
      <c r="U774" s="4"/>
      <c r="V774" s="4"/>
      <c r="W774" s="4"/>
      <c r="X774" s="4"/>
      <c r="Y774" s="4"/>
      <c r="Z774" s="4"/>
      <c r="AA774" s="4"/>
      <c r="AB774" s="4"/>
    </row>
    <row r="775" spans="1:28" ht="13.5" customHeight="1">
      <c r="A775" s="4"/>
      <c r="B775" s="9"/>
      <c r="C775" s="9"/>
      <c r="D775" s="4"/>
      <c r="E775" s="4"/>
      <c r="F775" s="4"/>
      <c r="G775" s="4"/>
      <c r="H775" s="4"/>
      <c r="I775" s="4"/>
      <c r="J775" s="4"/>
      <c r="K775" s="4"/>
      <c r="L775" s="38"/>
      <c r="M775" s="4"/>
      <c r="N775" s="4"/>
      <c r="O775" s="4"/>
      <c r="P775" s="4"/>
      <c r="Q775" s="4"/>
      <c r="R775" s="4"/>
      <c r="S775" s="4"/>
      <c r="T775" s="4"/>
      <c r="U775" s="4"/>
      <c r="V775" s="4"/>
      <c r="W775" s="4"/>
      <c r="X775" s="4"/>
      <c r="Y775" s="4"/>
      <c r="Z775" s="4"/>
      <c r="AA775" s="4"/>
      <c r="AB775" s="4"/>
    </row>
    <row r="776" spans="1:28" ht="13.5" customHeight="1">
      <c r="A776" s="4"/>
      <c r="B776" s="9"/>
      <c r="C776" s="9"/>
      <c r="D776" s="4"/>
      <c r="E776" s="4"/>
      <c r="F776" s="4"/>
      <c r="G776" s="4"/>
      <c r="H776" s="4"/>
      <c r="I776" s="4"/>
      <c r="J776" s="4"/>
      <c r="K776" s="4"/>
      <c r="L776" s="38"/>
      <c r="M776" s="4"/>
      <c r="N776" s="4"/>
      <c r="O776" s="4"/>
      <c r="P776" s="4"/>
      <c r="Q776" s="4"/>
      <c r="R776" s="4"/>
      <c r="S776" s="4"/>
      <c r="T776" s="4"/>
      <c r="U776" s="4"/>
      <c r="V776" s="4"/>
      <c r="W776" s="4"/>
      <c r="X776" s="4"/>
      <c r="Y776" s="4"/>
      <c r="Z776" s="4"/>
      <c r="AA776" s="4"/>
      <c r="AB776" s="4"/>
    </row>
    <row r="777" spans="1:28" ht="13.5" customHeight="1">
      <c r="A777" s="4"/>
      <c r="B777" s="9"/>
      <c r="C777" s="9"/>
      <c r="D777" s="4"/>
      <c r="E777" s="4"/>
      <c r="F777" s="4"/>
      <c r="G777" s="4"/>
      <c r="H777" s="4"/>
      <c r="I777" s="4"/>
      <c r="J777" s="4"/>
      <c r="K777" s="4"/>
      <c r="L777" s="38"/>
      <c r="M777" s="4"/>
      <c r="N777" s="4"/>
      <c r="O777" s="4"/>
      <c r="P777" s="4"/>
      <c r="Q777" s="4"/>
      <c r="R777" s="4"/>
      <c r="S777" s="4"/>
      <c r="T777" s="4"/>
      <c r="U777" s="4"/>
      <c r="V777" s="4"/>
      <c r="W777" s="4"/>
      <c r="X777" s="4"/>
      <c r="Y777" s="4"/>
      <c r="Z777" s="4"/>
      <c r="AA777" s="4"/>
      <c r="AB777" s="4"/>
    </row>
    <row r="778" spans="1:28" ht="13.5" customHeight="1">
      <c r="A778" s="4"/>
      <c r="B778" s="9"/>
      <c r="C778" s="9"/>
      <c r="D778" s="4"/>
      <c r="E778" s="4"/>
      <c r="F778" s="4"/>
      <c r="G778" s="4"/>
      <c r="H778" s="4"/>
      <c r="I778" s="4"/>
      <c r="J778" s="4"/>
      <c r="K778" s="4"/>
      <c r="L778" s="38"/>
      <c r="M778" s="4"/>
      <c r="N778" s="4"/>
      <c r="O778" s="4"/>
      <c r="P778" s="4"/>
      <c r="Q778" s="4"/>
      <c r="R778" s="4"/>
      <c r="S778" s="4"/>
      <c r="T778" s="4"/>
      <c r="U778" s="4"/>
      <c r="V778" s="4"/>
      <c r="W778" s="4"/>
      <c r="X778" s="4"/>
      <c r="Y778" s="4"/>
      <c r="Z778" s="4"/>
      <c r="AA778" s="4"/>
      <c r="AB778" s="4"/>
    </row>
    <row r="779" spans="1:28" ht="13.5" customHeight="1">
      <c r="A779" s="4"/>
      <c r="B779" s="9"/>
      <c r="C779" s="9"/>
      <c r="D779" s="4"/>
      <c r="E779" s="4"/>
      <c r="F779" s="4"/>
      <c r="G779" s="4"/>
      <c r="H779" s="4"/>
      <c r="I779" s="4"/>
      <c r="J779" s="4"/>
      <c r="K779" s="4"/>
      <c r="L779" s="38"/>
      <c r="M779" s="4"/>
      <c r="N779" s="4"/>
      <c r="O779" s="4"/>
      <c r="P779" s="4"/>
      <c r="Q779" s="4"/>
      <c r="R779" s="4"/>
      <c r="S779" s="4"/>
      <c r="T779" s="4"/>
      <c r="U779" s="4"/>
      <c r="V779" s="4"/>
      <c r="W779" s="4"/>
      <c r="X779" s="4"/>
      <c r="Y779" s="4"/>
      <c r="Z779" s="4"/>
      <c r="AA779" s="4"/>
      <c r="AB779" s="4"/>
    </row>
    <row r="780" spans="1:28" ht="13.5" customHeight="1">
      <c r="A780" s="4"/>
      <c r="B780" s="9"/>
      <c r="C780" s="9"/>
      <c r="D780" s="4"/>
      <c r="E780" s="4"/>
      <c r="F780" s="4"/>
      <c r="G780" s="4"/>
      <c r="H780" s="4"/>
      <c r="I780" s="4"/>
      <c r="J780" s="4"/>
      <c r="K780" s="4"/>
      <c r="L780" s="38"/>
      <c r="M780" s="4"/>
      <c r="N780" s="4"/>
      <c r="O780" s="4"/>
      <c r="P780" s="4"/>
      <c r="Q780" s="4"/>
      <c r="R780" s="4"/>
      <c r="S780" s="4"/>
      <c r="T780" s="4"/>
      <c r="U780" s="4"/>
      <c r="V780" s="4"/>
      <c r="W780" s="4"/>
      <c r="X780" s="4"/>
      <c r="Y780" s="4"/>
      <c r="Z780" s="4"/>
      <c r="AA780" s="4"/>
      <c r="AB780" s="4"/>
    </row>
    <row r="781" spans="1:28" ht="13.5" customHeight="1">
      <c r="A781" s="4"/>
      <c r="B781" s="9"/>
      <c r="C781" s="9"/>
      <c r="D781" s="4"/>
      <c r="E781" s="4"/>
      <c r="F781" s="4"/>
      <c r="G781" s="4"/>
      <c r="H781" s="4"/>
      <c r="I781" s="4"/>
      <c r="J781" s="4"/>
      <c r="K781" s="4"/>
      <c r="L781" s="38"/>
      <c r="M781" s="4"/>
      <c r="N781" s="4"/>
      <c r="O781" s="4"/>
      <c r="P781" s="4"/>
      <c r="Q781" s="4"/>
      <c r="R781" s="4"/>
      <c r="S781" s="4"/>
      <c r="T781" s="4"/>
      <c r="U781" s="4"/>
      <c r="V781" s="4"/>
      <c r="W781" s="4"/>
      <c r="X781" s="4"/>
      <c r="Y781" s="4"/>
      <c r="Z781" s="4"/>
      <c r="AA781" s="4"/>
      <c r="AB781" s="4"/>
    </row>
    <row r="782" spans="1:28" ht="13.5" customHeight="1">
      <c r="A782" s="4"/>
      <c r="B782" s="9"/>
      <c r="C782" s="9"/>
      <c r="D782" s="4"/>
      <c r="E782" s="4"/>
      <c r="F782" s="4"/>
      <c r="G782" s="4"/>
      <c r="H782" s="4"/>
      <c r="I782" s="4"/>
      <c r="J782" s="4"/>
      <c r="K782" s="4"/>
      <c r="L782" s="38"/>
      <c r="M782" s="4"/>
      <c r="N782" s="4"/>
      <c r="O782" s="4"/>
      <c r="P782" s="4"/>
      <c r="Q782" s="4"/>
      <c r="R782" s="4"/>
      <c r="S782" s="4"/>
      <c r="T782" s="4"/>
      <c r="U782" s="4"/>
      <c r="V782" s="4"/>
      <c r="W782" s="4"/>
      <c r="X782" s="4"/>
      <c r="Y782" s="4"/>
      <c r="Z782" s="4"/>
      <c r="AA782" s="4"/>
      <c r="AB782" s="4"/>
    </row>
    <row r="783" spans="1:28" ht="13.5" customHeight="1">
      <c r="A783" s="4"/>
      <c r="B783" s="9"/>
      <c r="C783" s="9"/>
      <c r="D783" s="4"/>
      <c r="E783" s="4"/>
      <c r="F783" s="4"/>
      <c r="G783" s="4"/>
      <c r="H783" s="4"/>
      <c r="I783" s="4"/>
      <c r="J783" s="4"/>
      <c r="K783" s="4"/>
      <c r="L783" s="38"/>
      <c r="M783" s="4"/>
      <c r="N783" s="4"/>
      <c r="O783" s="4"/>
      <c r="P783" s="4"/>
      <c r="Q783" s="4"/>
      <c r="R783" s="4"/>
      <c r="S783" s="4"/>
      <c r="T783" s="4"/>
      <c r="U783" s="4"/>
      <c r="V783" s="4"/>
      <c r="W783" s="4"/>
      <c r="X783" s="4"/>
      <c r="Y783" s="4"/>
      <c r="Z783" s="4"/>
      <c r="AA783" s="4"/>
      <c r="AB783" s="4"/>
    </row>
    <row r="784" spans="1:28" ht="13.5" customHeight="1">
      <c r="A784" s="4"/>
      <c r="B784" s="9"/>
      <c r="C784" s="9"/>
      <c r="D784" s="4"/>
      <c r="E784" s="4"/>
      <c r="F784" s="4"/>
      <c r="G784" s="4"/>
      <c r="H784" s="4"/>
      <c r="I784" s="4"/>
      <c r="J784" s="4"/>
      <c r="K784" s="4"/>
      <c r="L784" s="38"/>
      <c r="M784" s="4"/>
      <c r="N784" s="4"/>
      <c r="O784" s="4"/>
      <c r="P784" s="4"/>
      <c r="Q784" s="4"/>
      <c r="R784" s="4"/>
      <c r="S784" s="4"/>
      <c r="T784" s="4"/>
      <c r="U784" s="4"/>
      <c r="V784" s="4"/>
      <c r="W784" s="4"/>
      <c r="X784" s="4"/>
      <c r="Y784" s="4"/>
      <c r="Z784" s="4"/>
      <c r="AA784" s="4"/>
      <c r="AB784" s="4"/>
    </row>
    <row r="785" spans="1:28" ht="13.5" customHeight="1">
      <c r="A785" s="4"/>
      <c r="B785" s="9"/>
      <c r="C785" s="9"/>
      <c r="D785" s="4"/>
      <c r="E785" s="4"/>
      <c r="F785" s="4"/>
      <c r="G785" s="4"/>
      <c r="H785" s="4"/>
      <c r="I785" s="4"/>
      <c r="J785" s="4"/>
      <c r="K785" s="4"/>
      <c r="L785" s="38"/>
      <c r="M785" s="4"/>
      <c r="N785" s="4"/>
      <c r="O785" s="4"/>
      <c r="P785" s="4"/>
      <c r="Q785" s="4"/>
      <c r="R785" s="4"/>
      <c r="S785" s="4"/>
      <c r="T785" s="4"/>
      <c r="U785" s="4"/>
      <c r="V785" s="4"/>
      <c r="W785" s="4"/>
      <c r="X785" s="4"/>
      <c r="Y785" s="4"/>
      <c r="Z785" s="4"/>
      <c r="AA785" s="4"/>
      <c r="AB785" s="4"/>
    </row>
    <row r="786" spans="1:28" ht="13.5" customHeight="1">
      <c r="A786" s="4"/>
      <c r="B786" s="9"/>
      <c r="C786" s="9"/>
      <c r="D786" s="4"/>
      <c r="E786" s="4"/>
      <c r="F786" s="4"/>
      <c r="G786" s="4"/>
      <c r="H786" s="4"/>
      <c r="I786" s="4"/>
      <c r="J786" s="4"/>
      <c r="K786" s="4"/>
      <c r="L786" s="38"/>
      <c r="M786" s="4"/>
      <c r="N786" s="4"/>
      <c r="O786" s="4"/>
      <c r="P786" s="4"/>
      <c r="Q786" s="4"/>
      <c r="R786" s="4"/>
      <c r="S786" s="4"/>
      <c r="T786" s="4"/>
      <c r="U786" s="4"/>
      <c r="V786" s="4"/>
      <c r="W786" s="4"/>
      <c r="X786" s="4"/>
      <c r="Y786" s="4"/>
      <c r="Z786" s="4"/>
      <c r="AA786" s="4"/>
      <c r="AB786" s="4"/>
    </row>
    <row r="787" spans="1:28" ht="13.5" customHeight="1">
      <c r="A787" s="4"/>
      <c r="B787" s="9"/>
      <c r="C787" s="9"/>
      <c r="D787" s="4"/>
      <c r="E787" s="4"/>
      <c r="F787" s="4"/>
      <c r="G787" s="4"/>
      <c r="H787" s="4"/>
      <c r="I787" s="4"/>
      <c r="J787" s="4"/>
      <c r="K787" s="4"/>
      <c r="L787" s="38"/>
      <c r="M787" s="4"/>
      <c r="N787" s="4"/>
      <c r="O787" s="4"/>
      <c r="P787" s="4"/>
      <c r="Q787" s="4"/>
      <c r="R787" s="4"/>
      <c r="S787" s="4"/>
      <c r="T787" s="4"/>
      <c r="U787" s="4"/>
      <c r="V787" s="4"/>
      <c r="W787" s="4"/>
      <c r="X787" s="4"/>
      <c r="Y787" s="4"/>
      <c r="Z787" s="4"/>
      <c r="AA787" s="4"/>
      <c r="AB787" s="4"/>
    </row>
    <row r="788" spans="1:28" ht="13.5" customHeight="1">
      <c r="A788" s="4"/>
      <c r="B788" s="9"/>
      <c r="C788" s="9"/>
      <c r="D788" s="4"/>
      <c r="E788" s="4"/>
      <c r="F788" s="4"/>
      <c r="G788" s="4"/>
      <c r="H788" s="4"/>
      <c r="I788" s="4"/>
      <c r="J788" s="4"/>
      <c r="K788" s="4"/>
      <c r="L788" s="38"/>
      <c r="M788" s="4"/>
      <c r="N788" s="4"/>
      <c r="O788" s="4"/>
      <c r="P788" s="4"/>
      <c r="Q788" s="4"/>
      <c r="R788" s="4"/>
      <c r="S788" s="4"/>
      <c r="T788" s="4"/>
      <c r="U788" s="4"/>
      <c r="V788" s="4"/>
      <c r="W788" s="4"/>
      <c r="X788" s="4"/>
      <c r="Y788" s="4"/>
      <c r="Z788" s="4"/>
      <c r="AA788" s="4"/>
      <c r="AB788" s="4"/>
    </row>
    <row r="789" spans="1:28" ht="13.5" customHeight="1">
      <c r="A789" s="4"/>
      <c r="B789" s="9"/>
      <c r="C789" s="9"/>
      <c r="D789" s="4"/>
      <c r="E789" s="4"/>
      <c r="F789" s="4"/>
      <c r="G789" s="4"/>
      <c r="H789" s="4"/>
      <c r="I789" s="4"/>
      <c r="J789" s="4"/>
      <c r="K789" s="4"/>
      <c r="L789" s="38"/>
      <c r="M789" s="4"/>
      <c r="N789" s="4"/>
      <c r="O789" s="4"/>
      <c r="P789" s="4"/>
      <c r="Q789" s="4"/>
      <c r="R789" s="4"/>
      <c r="S789" s="4"/>
      <c r="T789" s="4"/>
      <c r="U789" s="4"/>
      <c r="V789" s="4"/>
      <c r="W789" s="4"/>
      <c r="X789" s="4"/>
      <c r="Y789" s="4"/>
      <c r="Z789" s="4"/>
      <c r="AA789" s="4"/>
      <c r="AB789" s="4"/>
    </row>
    <row r="790" spans="1:28" ht="13.5" customHeight="1">
      <c r="A790" s="4"/>
      <c r="B790" s="9"/>
      <c r="C790" s="9"/>
      <c r="D790" s="4"/>
      <c r="E790" s="4"/>
      <c r="F790" s="4"/>
      <c r="G790" s="4"/>
      <c r="H790" s="4"/>
      <c r="I790" s="4"/>
      <c r="J790" s="4"/>
      <c r="K790" s="4"/>
      <c r="L790" s="38"/>
      <c r="M790" s="4"/>
      <c r="N790" s="4"/>
      <c r="O790" s="4"/>
      <c r="P790" s="4"/>
      <c r="Q790" s="4"/>
      <c r="R790" s="4"/>
      <c r="S790" s="4"/>
      <c r="T790" s="4"/>
      <c r="U790" s="4"/>
      <c r="V790" s="4"/>
      <c r="W790" s="4"/>
      <c r="X790" s="4"/>
      <c r="Y790" s="4"/>
      <c r="Z790" s="4"/>
      <c r="AA790" s="4"/>
      <c r="AB790" s="4"/>
    </row>
    <row r="791" spans="1:28" ht="13.5" customHeight="1">
      <c r="A791" s="4"/>
      <c r="B791" s="9"/>
      <c r="C791" s="9"/>
      <c r="D791" s="4"/>
      <c r="E791" s="4"/>
      <c r="F791" s="4"/>
      <c r="G791" s="4"/>
      <c r="H791" s="4"/>
      <c r="I791" s="4"/>
      <c r="J791" s="4"/>
      <c r="K791" s="4"/>
      <c r="L791" s="38"/>
      <c r="M791" s="4"/>
      <c r="N791" s="4"/>
      <c r="O791" s="4"/>
      <c r="P791" s="4"/>
      <c r="Q791" s="4"/>
      <c r="R791" s="4"/>
      <c r="S791" s="4"/>
      <c r="T791" s="4"/>
      <c r="U791" s="4"/>
      <c r="V791" s="4"/>
      <c r="W791" s="4"/>
      <c r="X791" s="4"/>
      <c r="Y791" s="4"/>
      <c r="Z791" s="4"/>
      <c r="AA791" s="4"/>
      <c r="AB791" s="4"/>
    </row>
    <row r="792" spans="1:28" ht="13.5" customHeight="1">
      <c r="A792" s="4"/>
      <c r="B792" s="9"/>
      <c r="C792" s="9"/>
      <c r="D792" s="4"/>
      <c r="E792" s="4"/>
      <c r="F792" s="4"/>
      <c r="G792" s="4"/>
      <c r="H792" s="4"/>
      <c r="I792" s="4"/>
      <c r="J792" s="4"/>
      <c r="K792" s="4"/>
      <c r="L792" s="38"/>
      <c r="M792" s="4"/>
      <c r="N792" s="4"/>
      <c r="O792" s="4"/>
      <c r="P792" s="4"/>
      <c r="Q792" s="4"/>
      <c r="R792" s="4"/>
      <c r="S792" s="4"/>
      <c r="T792" s="4"/>
      <c r="U792" s="4"/>
      <c r="V792" s="4"/>
      <c r="W792" s="4"/>
      <c r="X792" s="4"/>
      <c r="Y792" s="4"/>
      <c r="Z792" s="4"/>
      <c r="AA792" s="4"/>
      <c r="AB792" s="4"/>
    </row>
    <row r="793" spans="1:28" ht="13.5" customHeight="1">
      <c r="A793" s="4"/>
      <c r="B793" s="9"/>
      <c r="C793" s="9"/>
      <c r="D793" s="4"/>
      <c r="E793" s="4"/>
      <c r="F793" s="4"/>
      <c r="G793" s="4"/>
      <c r="H793" s="4"/>
      <c r="I793" s="4"/>
      <c r="J793" s="4"/>
      <c r="K793" s="4"/>
      <c r="L793" s="38"/>
      <c r="M793" s="4"/>
      <c r="N793" s="4"/>
      <c r="O793" s="4"/>
      <c r="P793" s="4"/>
      <c r="Q793" s="4"/>
      <c r="R793" s="4"/>
      <c r="S793" s="4"/>
      <c r="T793" s="4"/>
      <c r="U793" s="4"/>
      <c r="V793" s="4"/>
      <c r="W793" s="4"/>
      <c r="X793" s="4"/>
      <c r="Y793" s="4"/>
      <c r="Z793" s="4"/>
      <c r="AA793" s="4"/>
      <c r="AB793" s="4"/>
    </row>
    <row r="794" spans="1:28" ht="13.5" customHeight="1">
      <c r="A794" s="4"/>
      <c r="B794" s="9"/>
      <c r="C794" s="9"/>
      <c r="D794" s="4"/>
      <c r="E794" s="4"/>
      <c r="F794" s="4"/>
      <c r="G794" s="4"/>
      <c r="H794" s="4"/>
      <c r="I794" s="4"/>
      <c r="J794" s="4"/>
      <c r="K794" s="4"/>
      <c r="L794" s="38"/>
      <c r="M794" s="4"/>
      <c r="N794" s="4"/>
      <c r="O794" s="4"/>
      <c r="P794" s="4"/>
      <c r="Q794" s="4"/>
      <c r="R794" s="4"/>
      <c r="S794" s="4"/>
      <c r="T794" s="4"/>
      <c r="U794" s="4"/>
      <c r="V794" s="4"/>
      <c r="W794" s="4"/>
      <c r="X794" s="4"/>
      <c r="Y794" s="4"/>
      <c r="Z794" s="4"/>
      <c r="AA794" s="4"/>
      <c r="AB794" s="4"/>
    </row>
    <row r="795" spans="1:28" ht="13.5" customHeight="1">
      <c r="A795" s="4"/>
      <c r="B795" s="9"/>
      <c r="C795" s="9"/>
      <c r="D795" s="4"/>
      <c r="E795" s="4"/>
      <c r="F795" s="4"/>
      <c r="G795" s="4"/>
      <c r="H795" s="4"/>
      <c r="I795" s="4"/>
      <c r="J795" s="4"/>
      <c r="K795" s="4"/>
      <c r="L795" s="38"/>
      <c r="M795" s="4"/>
      <c r="N795" s="4"/>
      <c r="O795" s="4"/>
      <c r="P795" s="4"/>
      <c r="Q795" s="4"/>
      <c r="R795" s="4"/>
      <c r="S795" s="4"/>
      <c r="T795" s="4"/>
      <c r="U795" s="4"/>
      <c r="V795" s="4"/>
      <c r="W795" s="4"/>
      <c r="X795" s="4"/>
      <c r="Y795" s="4"/>
      <c r="Z795" s="4"/>
      <c r="AA795" s="4"/>
      <c r="AB795" s="4"/>
    </row>
    <row r="796" spans="1:28" ht="13.5" customHeight="1">
      <c r="A796" s="4"/>
      <c r="B796" s="9"/>
      <c r="C796" s="9"/>
      <c r="D796" s="4"/>
      <c r="E796" s="4"/>
      <c r="F796" s="4"/>
      <c r="G796" s="4"/>
      <c r="H796" s="4"/>
      <c r="I796" s="4"/>
      <c r="J796" s="4"/>
      <c r="K796" s="4"/>
      <c r="L796" s="38"/>
      <c r="M796" s="4"/>
      <c r="N796" s="4"/>
      <c r="O796" s="4"/>
      <c r="P796" s="4"/>
      <c r="Q796" s="4"/>
      <c r="R796" s="4"/>
      <c r="S796" s="4"/>
      <c r="T796" s="4"/>
      <c r="U796" s="4"/>
      <c r="V796" s="4"/>
      <c r="W796" s="4"/>
      <c r="X796" s="4"/>
      <c r="Y796" s="4"/>
      <c r="Z796" s="4"/>
      <c r="AA796" s="4"/>
      <c r="AB796" s="4"/>
    </row>
    <row r="797" spans="1:28" ht="13.5" customHeight="1">
      <c r="A797" s="4"/>
      <c r="B797" s="9"/>
      <c r="C797" s="9"/>
      <c r="D797" s="4"/>
      <c r="E797" s="4"/>
      <c r="F797" s="4"/>
      <c r="G797" s="4"/>
      <c r="H797" s="4"/>
      <c r="I797" s="4"/>
      <c r="J797" s="4"/>
      <c r="K797" s="4"/>
      <c r="L797" s="38"/>
      <c r="M797" s="4"/>
      <c r="N797" s="4"/>
      <c r="O797" s="4"/>
      <c r="P797" s="4"/>
      <c r="Q797" s="4"/>
      <c r="R797" s="4"/>
      <c r="S797" s="4"/>
      <c r="T797" s="4"/>
      <c r="U797" s="4"/>
      <c r="V797" s="4"/>
      <c r="W797" s="4"/>
      <c r="X797" s="4"/>
      <c r="Y797" s="4"/>
      <c r="Z797" s="4"/>
      <c r="AA797" s="4"/>
      <c r="AB797" s="4"/>
    </row>
    <row r="798" spans="1:28" ht="13.5" customHeight="1">
      <c r="A798" s="4"/>
      <c r="B798" s="9"/>
      <c r="C798" s="9"/>
      <c r="D798" s="4"/>
      <c r="E798" s="4"/>
      <c r="F798" s="4"/>
      <c r="G798" s="4"/>
      <c r="H798" s="4"/>
      <c r="I798" s="4"/>
      <c r="J798" s="4"/>
      <c r="K798" s="4"/>
      <c r="L798" s="38"/>
      <c r="M798" s="4"/>
      <c r="N798" s="4"/>
      <c r="O798" s="4"/>
      <c r="P798" s="4"/>
      <c r="Q798" s="4"/>
      <c r="R798" s="4"/>
      <c r="S798" s="4"/>
      <c r="T798" s="4"/>
      <c r="U798" s="4"/>
      <c r="V798" s="4"/>
      <c r="W798" s="4"/>
      <c r="X798" s="4"/>
      <c r="Y798" s="4"/>
      <c r="Z798" s="4"/>
      <c r="AA798" s="4"/>
      <c r="AB798" s="4"/>
    </row>
    <row r="799" spans="1:28" ht="13.5" customHeight="1">
      <c r="A799" s="4"/>
      <c r="B799" s="9"/>
      <c r="C799" s="9"/>
      <c r="D799" s="4"/>
      <c r="E799" s="4"/>
      <c r="F799" s="4"/>
      <c r="G799" s="4"/>
      <c r="H799" s="4"/>
      <c r="I799" s="4"/>
      <c r="J799" s="4"/>
      <c r="K799" s="4"/>
      <c r="L799" s="38"/>
      <c r="M799" s="4"/>
      <c r="N799" s="4"/>
      <c r="O799" s="4"/>
      <c r="P799" s="4"/>
      <c r="Q799" s="4"/>
      <c r="R799" s="4"/>
      <c r="S799" s="4"/>
      <c r="T799" s="4"/>
      <c r="U799" s="4"/>
      <c r="V799" s="4"/>
      <c r="W799" s="4"/>
      <c r="X799" s="4"/>
      <c r="Y799" s="4"/>
      <c r="Z799" s="4"/>
      <c r="AA799" s="4"/>
      <c r="AB799" s="4"/>
    </row>
    <row r="800" spans="1:28" ht="13.5" customHeight="1">
      <c r="A800" s="4"/>
      <c r="B800" s="9"/>
      <c r="C800" s="9"/>
      <c r="D800" s="4"/>
      <c r="E800" s="4"/>
      <c r="F800" s="4"/>
      <c r="G800" s="4"/>
      <c r="H800" s="4"/>
      <c r="I800" s="4"/>
      <c r="J800" s="4"/>
      <c r="K800" s="4"/>
      <c r="L800" s="38"/>
      <c r="M800" s="4"/>
      <c r="N800" s="4"/>
      <c r="O800" s="4"/>
      <c r="P800" s="4"/>
      <c r="Q800" s="4"/>
      <c r="R800" s="4"/>
      <c r="S800" s="4"/>
      <c r="T800" s="4"/>
      <c r="U800" s="4"/>
      <c r="V800" s="4"/>
      <c r="W800" s="4"/>
      <c r="X800" s="4"/>
      <c r="Y800" s="4"/>
      <c r="Z800" s="4"/>
      <c r="AA800" s="4"/>
      <c r="AB800" s="4"/>
    </row>
    <row r="801" spans="1:28" ht="13.5" customHeight="1">
      <c r="A801" s="4"/>
      <c r="B801" s="9"/>
      <c r="C801" s="9"/>
      <c r="D801" s="4"/>
      <c r="E801" s="4"/>
      <c r="F801" s="4"/>
      <c r="G801" s="4"/>
      <c r="H801" s="4"/>
      <c r="I801" s="4"/>
      <c r="J801" s="4"/>
      <c r="K801" s="4"/>
      <c r="L801" s="38"/>
      <c r="M801" s="4"/>
      <c r="N801" s="4"/>
      <c r="O801" s="4"/>
      <c r="P801" s="4"/>
      <c r="Q801" s="4"/>
      <c r="R801" s="4"/>
      <c r="S801" s="4"/>
      <c r="T801" s="4"/>
      <c r="U801" s="4"/>
      <c r="V801" s="4"/>
      <c r="W801" s="4"/>
      <c r="X801" s="4"/>
      <c r="Y801" s="4"/>
      <c r="Z801" s="4"/>
      <c r="AA801" s="4"/>
      <c r="AB801" s="4"/>
    </row>
    <row r="802" spans="1:28" ht="13.5" customHeight="1">
      <c r="A802" s="4"/>
      <c r="B802" s="9"/>
      <c r="C802" s="9"/>
      <c r="D802" s="4"/>
      <c r="E802" s="4"/>
      <c r="F802" s="4"/>
      <c r="G802" s="4"/>
      <c r="H802" s="4"/>
      <c r="I802" s="4"/>
      <c r="J802" s="4"/>
      <c r="K802" s="4"/>
      <c r="L802" s="38"/>
      <c r="M802" s="4"/>
      <c r="N802" s="4"/>
      <c r="O802" s="4"/>
      <c r="P802" s="4"/>
      <c r="Q802" s="4"/>
      <c r="R802" s="4"/>
      <c r="S802" s="4"/>
      <c r="T802" s="4"/>
      <c r="U802" s="4"/>
      <c r="V802" s="4"/>
      <c r="W802" s="4"/>
      <c r="X802" s="4"/>
      <c r="Y802" s="4"/>
      <c r="Z802" s="4"/>
      <c r="AA802" s="4"/>
      <c r="AB802" s="4"/>
    </row>
    <row r="803" spans="1:28" ht="13.5" customHeight="1">
      <c r="A803" s="4"/>
      <c r="B803" s="9"/>
      <c r="C803" s="9"/>
      <c r="D803" s="4"/>
      <c r="E803" s="4"/>
      <c r="F803" s="4"/>
      <c r="G803" s="4"/>
      <c r="H803" s="4"/>
      <c r="I803" s="4"/>
      <c r="J803" s="4"/>
      <c r="K803" s="4"/>
      <c r="L803" s="38"/>
      <c r="M803" s="4"/>
      <c r="N803" s="4"/>
      <c r="O803" s="4"/>
      <c r="P803" s="4"/>
      <c r="Q803" s="4"/>
      <c r="R803" s="4"/>
      <c r="S803" s="4"/>
      <c r="T803" s="4"/>
      <c r="U803" s="4"/>
      <c r="V803" s="4"/>
      <c r="W803" s="4"/>
      <c r="X803" s="4"/>
      <c r="Y803" s="4"/>
      <c r="Z803" s="4"/>
      <c r="AA803" s="4"/>
      <c r="AB803" s="4"/>
    </row>
    <row r="804" spans="1:28" ht="13.5" customHeight="1">
      <c r="A804" s="4"/>
      <c r="B804" s="9"/>
      <c r="C804" s="9"/>
      <c r="D804" s="4"/>
      <c r="E804" s="4"/>
      <c r="F804" s="4"/>
      <c r="G804" s="4"/>
      <c r="H804" s="4"/>
      <c r="I804" s="4"/>
      <c r="J804" s="4"/>
      <c r="K804" s="4"/>
      <c r="L804" s="38"/>
      <c r="M804" s="4"/>
      <c r="N804" s="4"/>
      <c r="O804" s="4"/>
      <c r="P804" s="4"/>
      <c r="Q804" s="4"/>
      <c r="R804" s="4"/>
      <c r="S804" s="4"/>
      <c r="T804" s="4"/>
      <c r="U804" s="4"/>
      <c r="V804" s="4"/>
      <c r="W804" s="4"/>
      <c r="X804" s="4"/>
      <c r="Y804" s="4"/>
      <c r="Z804" s="4"/>
      <c r="AA804" s="4"/>
      <c r="AB804" s="4"/>
    </row>
    <row r="805" spans="1:28" ht="13.5" customHeight="1">
      <c r="A805" s="4"/>
      <c r="B805" s="9"/>
      <c r="C805" s="9"/>
      <c r="D805" s="4"/>
      <c r="E805" s="4"/>
      <c r="F805" s="4"/>
      <c r="G805" s="4"/>
      <c r="H805" s="4"/>
      <c r="I805" s="4"/>
      <c r="J805" s="4"/>
      <c r="K805" s="4"/>
      <c r="L805" s="38"/>
      <c r="M805" s="4"/>
      <c r="N805" s="4"/>
      <c r="O805" s="4"/>
      <c r="P805" s="4"/>
      <c r="Q805" s="4"/>
      <c r="R805" s="4"/>
      <c r="S805" s="4"/>
      <c r="T805" s="4"/>
      <c r="U805" s="4"/>
      <c r="V805" s="4"/>
      <c r="W805" s="4"/>
      <c r="X805" s="4"/>
      <c r="Y805" s="4"/>
      <c r="Z805" s="4"/>
      <c r="AA805" s="4"/>
      <c r="AB805" s="4"/>
    </row>
    <row r="806" spans="1:28" ht="13.5" customHeight="1">
      <c r="A806" s="4"/>
      <c r="B806" s="9"/>
      <c r="C806" s="9"/>
      <c r="D806" s="4"/>
      <c r="E806" s="4"/>
      <c r="F806" s="4"/>
      <c r="G806" s="4"/>
      <c r="H806" s="4"/>
      <c r="I806" s="4"/>
      <c r="J806" s="4"/>
      <c r="K806" s="4"/>
      <c r="L806" s="38"/>
      <c r="M806" s="4"/>
      <c r="N806" s="4"/>
      <c r="O806" s="4"/>
      <c r="P806" s="4"/>
      <c r="Q806" s="4"/>
      <c r="R806" s="4"/>
      <c r="S806" s="4"/>
      <c r="T806" s="4"/>
      <c r="U806" s="4"/>
      <c r="V806" s="4"/>
      <c r="W806" s="4"/>
      <c r="X806" s="4"/>
      <c r="Y806" s="4"/>
      <c r="Z806" s="4"/>
      <c r="AA806" s="4"/>
      <c r="AB806" s="4"/>
    </row>
    <row r="807" spans="1:28" ht="13.5" customHeight="1">
      <c r="A807" s="4"/>
      <c r="B807" s="9"/>
      <c r="C807" s="9"/>
      <c r="D807" s="4"/>
      <c r="E807" s="4"/>
      <c r="F807" s="4"/>
      <c r="G807" s="4"/>
      <c r="H807" s="4"/>
      <c r="I807" s="4"/>
      <c r="J807" s="4"/>
      <c r="K807" s="4"/>
      <c r="L807" s="38"/>
      <c r="M807" s="4"/>
      <c r="N807" s="4"/>
      <c r="O807" s="4"/>
      <c r="P807" s="4"/>
      <c r="Q807" s="4"/>
      <c r="R807" s="4"/>
      <c r="S807" s="4"/>
      <c r="T807" s="4"/>
      <c r="U807" s="4"/>
      <c r="V807" s="4"/>
      <c r="W807" s="4"/>
      <c r="X807" s="4"/>
      <c r="Y807" s="4"/>
      <c r="Z807" s="4"/>
      <c r="AA807" s="4"/>
      <c r="AB807" s="4"/>
    </row>
    <row r="808" spans="1:28" ht="13.5" customHeight="1">
      <c r="A808" s="4"/>
      <c r="B808" s="9"/>
      <c r="C808" s="9"/>
      <c r="D808" s="4"/>
      <c r="E808" s="4"/>
      <c r="F808" s="4"/>
      <c r="G808" s="4"/>
      <c r="H808" s="4"/>
      <c r="I808" s="4"/>
      <c r="J808" s="4"/>
      <c r="K808" s="4"/>
      <c r="L808" s="38"/>
      <c r="M808" s="4"/>
      <c r="N808" s="4"/>
      <c r="O808" s="4"/>
      <c r="P808" s="4"/>
      <c r="Q808" s="4"/>
      <c r="R808" s="4"/>
      <c r="S808" s="4"/>
      <c r="T808" s="4"/>
      <c r="U808" s="4"/>
      <c r="V808" s="4"/>
      <c r="W808" s="4"/>
      <c r="X808" s="4"/>
      <c r="Y808" s="4"/>
      <c r="Z808" s="4"/>
      <c r="AA808" s="4"/>
      <c r="AB808" s="4"/>
    </row>
    <row r="809" spans="1:28" ht="13.5" customHeight="1">
      <c r="A809" s="4"/>
      <c r="B809" s="9"/>
      <c r="C809" s="9"/>
      <c r="D809" s="4"/>
      <c r="E809" s="4"/>
      <c r="F809" s="4"/>
      <c r="G809" s="4"/>
      <c r="H809" s="4"/>
      <c r="I809" s="4"/>
      <c r="J809" s="4"/>
      <c r="K809" s="4"/>
      <c r="L809" s="38"/>
      <c r="M809" s="4"/>
      <c r="N809" s="4"/>
      <c r="O809" s="4"/>
      <c r="P809" s="4"/>
      <c r="Q809" s="4"/>
      <c r="R809" s="4"/>
      <c r="S809" s="4"/>
      <c r="T809" s="4"/>
      <c r="U809" s="4"/>
      <c r="V809" s="4"/>
      <c r="W809" s="4"/>
      <c r="X809" s="4"/>
      <c r="Y809" s="4"/>
      <c r="Z809" s="4"/>
      <c r="AA809" s="4"/>
      <c r="AB809" s="4"/>
    </row>
    <row r="810" spans="1:28" ht="13.5" customHeight="1">
      <c r="A810" s="4"/>
      <c r="B810" s="9"/>
      <c r="C810" s="9"/>
      <c r="D810" s="4"/>
      <c r="E810" s="4"/>
      <c r="F810" s="4"/>
      <c r="G810" s="4"/>
      <c r="H810" s="4"/>
      <c r="I810" s="4"/>
      <c r="J810" s="4"/>
      <c r="K810" s="4"/>
      <c r="L810" s="38"/>
      <c r="M810" s="4"/>
      <c r="N810" s="4"/>
      <c r="O810" s="4"/>
      <c r="P810" s="4"/>
      <c r="Q810" s="4"/>
      <c r="R810" s="4"/>
      <c r="S810" s="4"/>
      <c r="T810" s="4"/>
      <c r="U810" s="4"/>
      <c r="V810" s="4"/>
      <c r="W810" s="4"/>
      <c r="X810" s="4"/>
      <c r="Y810" s="4"/>
      <c r="Z810" s="4"/>
      <c r="AA810" s="4"/>
      <c r="AB810" s="4"/>
    </row>
    <row r="811" spans="1:28" ht="13.5" customHeight="1">
      <c r="A811" s="4"/>
      <c r="B811" s="9"/>
      <c r="C811" s="9"/>
      <c r="D811" s="4"/>
      <c r="E811" s="4"/>
      <c r="F811" s="4"/>
      <c r="G811" s="4"/>
      <c r="H811" s="4"/>
      <c r="I811" s="4"/>
      <c r="J811" s="4"/>
      <c r="K811" s="4"/>
      <c r="L811" s="38"/>
      <c r="M811" s="4"/>
      <c r="N811" s="4"/>
      <c r="O811" s="4"/>
      <c r="P811" s="4"/>
      <c r="Q811" s="4"/>
      <c r="R811" s="4"/>
      <c r="S811" s="4"/>
      <c r="T811" s="4"/>
      <c r="U811" s="4"/>
      <c r="V811" s="4"/>
      <c r="W811" s="4"/>
      <c r="X811" s="4"/>
      <c r="Y811" s="4"/>
      <c r="Z811" s="4"/>
      <c r="AA811" s="4"/>
      <c r="AB811" s="4"/>
    </row>
    <row r="812" spans="1:28" ht="13.5" customHeight="1">
      <c r="A812" s="4"/>
      <c r="B812" s="9"/>
      <c r="C812" s="9"/>
      <c r="D812" s="4"/>
      <c r="E812" s="4"/>
      <c r="F812" s="4"/>
      <c r="G812" s="4"/>
      <c r="H812" s="4"/>
      <c r="I812" s="4"/>
      <c r="J812" s="4"/>
      <c r="K812" s="4"/>
      <c r="L812" s="38"/>
      <c r="M812" s="4"/>
      <c r="N812" s="4"/>
      <c r="O812" s="4"/>
      <c r="P812" s="4"/>
      <c r="Q812" s="4"/>
      <c r="R812" s="4"/>
      <c r="S812" s="4"/>
      <c r="T812" s="4"/>
      <c r="U812" s="4"/>
      <c r="V812" s="4"/>
      <c r="W812" s="4"/>
      <c r="X812" s="4"/>
      <c r="Y812" s="4"/>
      <c r="Z812" s="4"/>
      <c r="AA812" s="4"/>
      <c r="AB812" s="4"/>
    </row>
    <row r="813" spans="1:28" ht="13.5" customHeight="1">
      <c r="A813" s="4"/>
      <c r="B813" s="9"/>
      <c r="C813" s="9"/>
      <c r="D813" s="4"/>
      <c r="E813" s="4"/>
      <c r="F813" s="4"/>
      <c r="G813" s="4"/>
      <c r="H813" s="4"/>
      <c r="I813" s="4"/>
      <c r="J813" s="4"/>
      <c r="K813" s="4"/>
      <c r="L813" s="38"/>
      <c r="M813" s="4"/>
      <c r="N813" s="4"/>
      <c r="O813" s="4"/>
      <c r="P813" s="4"/>
      <c r="Q813" s="4"/>
      <c r="R813" s="4"/>
      <c r="S813" s="4"/>
      <c r="T813" s="4"/>
      <c r="U813" s="4"/>
      <c r="V813" s="4"/>
      <c r="W813" s="4"/>
      <c r="X813" s="4"/>
      <c r="Y813" s="4"/>
      <c r="Z813" s="4"/>
      <c r="AA813" s="4"/>
      <c r="AB813" s="4"/>
    </row>
    <row r="814" spans="1:28" ht="13.5" customHeight="1">
      <c r="A814" s="4"/>
      <c r="B814" s="9"/>
      <c r="C814" s="9"/>
      <c r="D814" s="4"/>
      <c r="E814" s="4"/>
      <c r="F814" s="4"/>
      <c r="G814" s="4"/>
      <c r="H814" s="4"/>
      <c r="I814" s="4"/>
      <c r="J814" s="4"/>
      <c r="K814" s="4"/>
      <c r="L814" s="38"/>
      <c r="M814" s="4"/>
      <c r="N814" s="4"/>
      <c r="O814" s="4"/>
      <c r="P814" s="4"/>
      <c r="Q814" s="4"/>
      <c r="R814" s="4"/>
      <c r="S814" s="4"/>
      <c r="T814" s="4"/>
      <c r="U814" s="4"/>
      <c r="V814" s="4"/>
      <c r="W814" s="4"/>
      <c r="X814" s="4"/>
      <c r="Y814" s="4"/>
      <c r="Z814" s="4"/>
      <c r="AA814" s="4"/>
      <c r="AB814" s="4"/>
    </row>
    <row r="815" spans="1:28" ht="13.5" customHeight="1">
      <c r="A815" s="4"/>
      <c r="B815" s="9"/>
      <c r="C815" s="9"/>
      <c r="D815" s="4"/>
      <c r="E815" s="4"/>
      <c r="F815" s="4"/>
      <c r="G815" s="4"/>
      <c r="H815" s="4"/>
      <c r="I815" s="4"/>
      <c r="J815" s="4"/>
      <c r="K815" s="4"/>
      <c r="L815" s="38"/>
      <c r="M815" s="4"/>
      <c r="N815" s="4"/>
      <c r="O815" s="4"/>
      <c r="P815" s="4"/>
      <c r="Q815" s="4"/>
      <c r="R815" s="4"/>
      <c r="S815" s="4"/>
      <c r="T815" s="4"/>
      <c r="U815" s="4"/>
      <c r="V815" s="4"/>
      <c r="W815" s="4"/>
      <c r="X815" s="4"/>
      <c r="Y815" s="4"/>
      <c r="Z815" s="4"/>
      <c r="AA815" s="4"/>
      <c r="AB815" s="4"/>
    </row>
    <row r="816" spans="1:28" ht="13.5" customHeight="1">
      <c r="A816" s="4"/>
      <c r="B816" s="9"/>
      <c r="C816" s="9"/>
      <c r="D816" s="4"/>
      <c r="E816" s="4"/>
      <c r="F816" s="4"/>
      <c r="G816" s="4"/>
      <c r="H816" s="4"/>
      <c r="I816" s="4"/>
      <c r="J816" s="4"/>
      <c r="K816" s="4"/>
      <c r="L816" s="38"/>
      <c r="M816" s="4"/>
      <c r="N816" s="4"/>
      <c r="O816" s="4"/>
      <c r="P816" s="4"/>
      <c r="Q816" s="4"/>
      <c r="R816" s="4"/>
      <c r="S816" s="4"/>
      <c r="T816" s="4"/>
      <c r="U816" s="4"/>
      <c r="V816" s="4"/>
      <c r="W816" s="4"/>
      <c r="X816" s="4"/>
      <c r="Y816" s="4"/>
      <c r="Z816" s="4"/>
      <c r="AA816" s="4"/>
      <c r="AB816" s="4"/>
    </row>
    <row r="817" spans="1:28" ht="13.5" customHeight="1">
      <c r="A817" s="4"/>
      <c r="B817" s="9"/>
      <c r="C817" s="9"/>
      <c r="D817" s="4"/>
      <c r="E817" s="4"/>
      <c r="F817" s="4"/>
      <c r="G817" s="4"/>
      <c r="H817" s="4"/>
      <c r="I817" s="4"/>
      <c r="J817" s="4"/>
      <c r="K817" s="4"/>
      <c r="L817" s="38"/>
      <c r="M817" s="4"/>
      <c r="N817" s="4"/>
      <c r="O817" s="4"/>
      <c r="P817" s="4"/>
      <c r="Q817" s="4"/>
      <c r="R817" s="4"/>
      <c r="S817" s="4"/>
      <c r="T817" s="4"/>
      <c r="U817" s="4"/>
      <c r="V817" s="4"/>
      <c r="W817" s="4"/>
      <c r="X817" s="4"/>
      <c r="Y817" s="4"/>
      <c r="Z817" s="4"/>
      <c r="AA817" s="4"/>
      <c r="AB817" s="4"/>
    </row>
    <row r="818" spans="1:28" ht="13.5" customHeight="1">
      <c r="A818" s="4"/>
      <c r="B818" s="9"/>
      <c r="C818" s="9"/>
      <c r="D818" s="4"/>
      <c r="E818" s="4"/>
      <c r="F818" s="4"/>
      <c r="G818" s="4"/>
      <c r="H818" s="4"/>
      <c r="I818" s="4"/>
      <c r="J818" s="4"/>
      <c r="K818" s="4"/>
      <c r="L818" s="38"/>
      <c r="M818" s="4"/>
      <c r="N818" s="4"/>
      <c r="O818" s="4"/>
      <c r="P818" s="4"/>
      <c r="Q818" s="4"/>
      <c r="R818" s="4"/>
      <c r="S818" s="4"/>
      <c r="T818" s="4"/>
      <c r="U818" s="4"/>
      <c r="V818" s="4"/>
      <c r="W818" s="4"/>
      <c r="X818" s="4"/>
      <c r="Y818" s="4"/>
      <c r="Z818" s="4"/>
      <c r="AA818" s="4"/>
      <c r="AB818" s="4"/>
    </row>
    <row r="819" spans="1:28" ht="13.5" customHeight="1">
      <c r="A819" s="4"/>
      <c r="B819" s="9"/>
      <c r="C819" s="9"/>
      <c r="D819" s="4"/>
      <c r="E819" s="4"/>
      <c r="F819" s="4"/>
      <c r="G819" s="4"/>
      <c r="H819" s="4"/>
      <c r="I819" s="4"/>
      <c r="J819" s="4"/>
      <c r="K819" s="4"/>
      <c r="L819" s="38"/>
      <c r="M819" s="4"/>
      <c r="N819" s="4"/>
      <c r="O819" s="4"/>
      <c r="P819" s="4"/>
      <c r="Q819" s="4"/>
      <c r="R819" s="4"/>
      <c r="S819" s="4"/>
      <c r="T819" s="4"/>
      <c r="U819" s="4"/>
      <c r="V819" s="4"/>
      <c r="W819" s="4"/>
      <c r="X819" s="4"/>
      <c r="Y819" s="4"/>
      <c r="Z819" s="4"/>
      <c r="AA819" s="4"/>
      <c r="AB819" s="4"/>
    </row>
    <row r="820" spans="1:28" ht="13.5" customHeight="1">
      <c r="A820" s="4"/>
      <c r="B820" s="9"/>
      <c r="C820" s="9"/>
      <c r="D820" s="4"/>
      <c r="E820" s="4"/>
      <c r="F820" s="4"/>
      <c r="G820" s="4"/>
      <c r="H820" s="4"/>
      <c r="I820" s="4"/>
      <c r="J820" s="4"/>
      <c r="K820" s="4"/>
      <c r="L820" s="38"/>
      <c r="M820" s="4"/>
      <c r="N820" s="4"/>
      <c r="O820" s="4"/>
      <c r="P820" s="4"/>
      <c r="Q820" s="4"/>
      <c r="R820" s="4"/>
      <c r="S820" s="4"/>
      <c r="T820" s="4"/>
      <c r="U820" s="4"/>
      <c r="V820" s="4"/>
      <c r="W820" s="4"/>
      <c r="X820" s="4"/>
      <c r="Y820" s="4"/>
      <c r="Z820" s="4"/>
      <c r="AA820" s="4"/>
      <c r="AB820" s="4"/>
    </row>
    <row r="821" spans="1:28" ht="13.5" customHeight="1">
      <c r="A821" s="4"/>
      <c r="B821" s="9"/>
      <c r="C821" s="9"/>
      <c r="D821" s="4"/>
      <c r="E821" s="4"/>
      <c r="F821" s="4"/>
      <c r="G821" s="4"/>
      <c r="H821" s="4"/>
      <c r="I821" s="4"/>
      <c r="J821" s="4"/>
      <c r="K821" s="4"/>
      <c r="L821" s="38"/>
      <c r="M821" s="4"/>
      <c r="N821" s="4"/>
      <c r="O821" s="4"/>
      <c r="P821" s="4"/>
      <c r="Q821" s="4"/>
      <c r="R821" s="4"/>
      <c r="S821" s="4"/>
      <c r="T821" s="4"/>
      <c r="U821" s="4"/>
      <c r="V821" s="4"/>
      <c r="W821" s="4"/>
      <c r="X821" s="4"/>
      <c r="Y821" s="4"/>
      <c r="Z821" s="4"/>
      <c r="AA821" s="4"/>
      <c r="AB821" s="4"/>
    </row>
    <row r="822" spans="1:28" ht="13.5" customHeight="1">
      <c r="A822" s="4"/>
      <c r="B822" s="9"/>
      <c r="C822" s="9"/>
      <c r="D822" s="4"/>
      <c r="E822" s="4"/>
      <c r="F822" s="4"/>
      <c r="G822" s="4"/>
      <c r="H822" s="4"/>
      <c r="I822" s="4"/>
      <c r="J822" s="4"/>
      <c r="K822" s="4"/>
      <c r="L822" s="38"/>
      <c r="M822" s="4"/>
      <c r="N822" s="4"/>
      <c r="O822" s="4"/>
      <c r="P822" s="4"/>
      <c r="Q822" s="4"/>
      <c r="R822" s="4"/>
      <c r="S822" s="4"/>
      <c r="T822" s="4"/>
      <c r="U822" s="4"/>
      <c r="V822" s="4"/>
      <c r="W822" s="4"/>
      <c r="X822" s="4"/>
      <c r="Y822" s="4"/>
      <c r="Z822" s="4"/>
      <c r="AA822" s="4"/>
      <c r="AB822" s="4"/>
    </row>
    <row r="823" spans="1:28" ht="13.5" customHeight="1">
      <c r="A823" s="4"/>
      <c r="B823" s="9"/>
      <c r="C823" s="9"/>
      <c r="D823" s="4"/>
      <c r="E823" s="4"/>
      <c r="F823" s="4"/>
      <c r="G823" s="4"/>
      <c r="H823" s="4"/>
      <c r="I823" s="4"/>
      <c r="J823" s="4"/>
      <c r="K823" s="4"/>
      <c r="L823" s="38"/>
      <c r="M823" s="4"/>
      <c r="N823" s="4"/>
      <c r="O823" s="4"/>
      <c r="P823" s="4"/>
      <c r="Q823" s="4"/>
      <c r="R823" s="4"/>
      <c r="S823" s="4"/>
      <c r="T823" s="4"/>
      <c r="U823" s="4"/>
      <c r="V823" s="4"/>
      <c r="W823" s="4"/>
      <c r="X823" s="4"/>
      <c r="Y823" s="4"/>
      <c r="Z823" s="4"/>
      <c r="AA823" s="4"/>
      <c r="AB823" s="4"/>
    </row>
    <row r="824" spans="1:28" ht="13.5" customHeight="1">
      <c r="A824" s="4"/>
      <c r="B824" s="9"/>
      <c r="C824" s="9"/>
      <c r="D824" s="4"/>
      <c r="E824" s="4"/>
      <c r="F824" s="4"/>
      <c r="G824" s="4"/>
      <c r="H824" s="4"/>
      <c r="I824" s="4"/>
      <c r="J824" s="4"/>
      <c r="K824" s="4"/>
      <c r="L824" s="38"/>
      <c r="M824" s="4"/>
      <c r="N824" s="4"/>
      <c r="O824" s="4"/>
      <c r="P824" s="4"/>
      <c r="Q824" s="4"/>
      <c r="R824" s="4"/>
      <c r="S824" s="4"/>
      <c r="T824" s="4"/>
      <c r="U824" s="4"/>
      <c r="V824" s="4"/>
      <c r="W824" s="4"/>
      <c r="X824" s="4"/>
      <c r="Y824" s="4"/>
      <c r="Z824" s="4"/>
      <c r="AA824" s="4"/>
      <c r="AB824" s="4"/>
    </row>
    <row r="825" spans="1:28" ht="13.5" customHeight="1">
      <c r="A825" s="4"/>
      <c r="B825" s="9"/>
      <c r="C825" s="9"/>
      <c r="D825" s="4"/>
      <c r="E825" s="4"/>
      <c r="F825" s="4"/>
      <c r="G825" s="4"/>
      <c r="H825" s="4"/>
      <c r="I825" s="4"/>
      <c r="J825" s="4"/>
      <c r="K825" s="4"/>
      <c r="L825" s="38"/>
      <c r="M825" s="4"/>
      <c r="N825" s="4"/>
      <c r="O825" s="4"/>
      <c r="P825" s="4"/>
      <c r="Q825" s="4"/>
      <c r="R825" s="4"/>
      <c r="S825" s="4"/>
      <c r="T825" s="4"/>
      <c r="U825" s="4"/>
      <c r="V825" s="4"/>
      <c r="W825" s="4"/>
      <c r="X825" s="4"/>
      <c r="Y825" s="4"/>
      <c r="Z825" s="4"/>
      <c r="AA825" s="4"/>
      <c r="AB825" s="4"/>
    </row>
    <row r="826" spans="1:28" ht="13.5" customHeight="1">
      <c r="A826" s="4"/>
      <c r="B826" s="9"/>
      <c r="C826" s="9"/>
      <c r="D826" s="4"/>
      <c r="E826" s="4"/>
      <c r="F826" s="4"/>
      <c r="G826" s="4"/>
      <c r="H826" s="4"/>
      <c r="I826" s="4"/>
      <c r="J826" s="4"/>
      <c r="K826" s="4"/>
      <c r="L826" s="38"/>
      <c r="M826" s="4"/>
      <c r="N826" s="4"/>
      <c r="O826" s="4"/>
      <c r="P826" s="4"/>
      <c r="Q826" s="4"/>
      <c r="R826" s="4"/>
      <c r="S826" s="4"/>
      <c r="T826" s="4"/>
      <c r="U826" s="4"/>
      <c r="V826" s="4"/>
      <c r="W826" s="4"/>
      <c r="X826" s="4"/>
      <c r="Y826" s="4"/>
      <c r="Z826" s="4"/>
      <c r="AA826" s="4"/>
      <c r="AB826" s="4"/>
    </row>
    <row r="827" spans="1:28" ht="13.5" customHeight="1">
      <c r="A827" s="4"/>
      <c r="B827" s="9"/>
      <c r="C827" s="9"/>
      <c r="D827" s="4"/>
      <c r="E827" s="4"/>
      <c r="F827" s="4"/>
      <c r="G827" s="4"/>
      <c r="H827" s="4"/>
      <c r="I827" s="4"/>
      <c r="J827" s="4"/>
      <c r="K827" s="4"/>
      <c r="L827" s="38"/>
      <c r="M827" s="4"/>
      <c r="N827" s="4"/>
      <c r="O827" s="4"/>
      <c r="P827" s="4"/>
      <c r="Q827" s="4"/>
      <c r="R827" s="4"/>
      <c r="S827" s="4"/>
      <c r="T827" s="4"/>
      <c r="U827" s="4"/>
      <c r="V827" s="4"/>
      <c r="W827" s="4"/>
      <c r="X827" s="4"/>
      <c r="Y827" s="4"/>
      <c r="Z827" s="4"/>
      <c r="AA827" s="4"/>
      <c r="AB827" s="4"/>
    </row>
    <row r="828" spans="1:28" ht="13.5" customHeight="1">
      <c r="A828" s="4"/>
      <c r="B828" s="9"/>
      <c r="C828" s="9"/>
      <c r="D828" s="4"/>
      <c r="E828" s="4"/>
      <c r="F828" s="4"/>
      <c r="G828" s="4"/>
      <c r="H828" s="4"/>
      <c r="I828" s="4"/>
      <c r="J828" s="4"/>
      <c r="K828" s="4"/>
      <c r="L828" s="38"/>
      <c r="M828" s="4"/>
      <c r="N828" s="4"/>
      <c r="O828" s="4"/>
      <c r="P828" s="4"/>
      <c r="Q828" s="4"/>
      <c r="R828" s="4"/>
      <c r="S828" s="4"/>
      <c r="T828" s="4"/>
      <c r="U828" s="4"/>
      <c r="V828" s="4"/>
      <c r="W828" s="4"/>
      <c r="X828" s="4"/>
      <c r="Y828" s="4"/>
      <c r="Z828" s="4"/>
      <c r="AA828" s="4"/>
      <c r="AB828" s="4"/>
    </row>
    <row r="829" spans="1:28" ht="13.5" customHeight="1">
      <c r="A829" s="4"/>
      <c r="B829" s="9"/>
      <c r="C829" s="9"/>
      <c r="D829" s="4"/>
      <c r="E829" s="4"/>
      <c r="F829" s="4"/>
      <c r="G829" s="4"/>
      <c r="H829" s="4"/>
      <c r="I829" s="4"/>
      <c r="J829" s="4"/>
      <c r="K829" s="4"/>
      <c r="L829" s="38"/>
      <c r="M829" s="4"/>
      <c r="N829" s="4"/>
      <c r="O829" s="4"/>
      <c r="P829" s="4"/>
      <c r="Q829" s="4"/>
      <c r="R829" s="4"/>
      <c r="S829" s="4"/>
      <c r="T829" s="4"/>
      <c r="U829" s="4"/>
      <c r="V829" s="4"/>
      <c r="W829" s="4"/>
      <c r="X829" s="4"/>
      <c r="Y829" s="4"/>
      <c r="Z829" s="4"/>
      <c r="AA829" s="4"/>
      <c r="AB829" s="4"/>
    </row>
    <row r="830" spans="1:28" ht="13.5" customHeight="1">
      <c r="A830" s="4"/>
      <c r="B830" s="9"/>
      <c r="C830" s="9"/>
      <c r="D830" s="4"/>
      <c r="E830" s="4"/>
      <c r="F830" s="4"/>
      <c r="G830" s="4"/>
      <c r="H830" s="4"/>
      <c r="I830" s="4"/>
      <c r="J830" s="4"/>
      <c r="K830" s="4"/>
      <c r="L830" s="38"/>
      <c r="M830" s="4"/>
      <c r="N830" s="4"/>
      <c r="O830" s="4"/>
      <c r="P830" s="4"/>
      <c r="Q830" s="4"/>
      <c r="R830" s="4"/>
      <c r="S830" s="4"/>
      <c r="T830" s="4"/>
      <c r="U830" s="4"/>
      <c r="V830" s="4"/>
      <c r="W830" s="4"/>
      <c r="X830" s="4"/>
      <c r="Y830" s="4"/>
      <c r="Z830" s="4"/>
      <c r="AA830" s="4"/>
      <c r="AB830" s="4"/>
    </row>
    <row r="831" spans="1:28" ht="13.5" customHeight="1">
      <c r="A831" s="4"/>
      <c r="B831" s="9"/>
      <c r="C831" s="9"/>
      <c r="D831" s="4"/>
      <c r="E831" s="4"/>
      <c r="F831" s="4"/>
      <c r="G831" s="4"/>
      <c r="H831" s="4"/>
      <c r="I831" s="4"/>
      <c r="J831" s="4"/>
      <c r="K831" s="4"/>
      <c r="L831" s="38"/>
      <c r="M831" s="4"/>
      <c r="N831" s="4"/>
      <c r="O831" s="4"/>
      <c r="P831" s="4"/>
      <c r="Q831" s="4"/>
      <c r="R831" s="4"/>
      <c r="S831" s="4"/>
      <c r="T831" s="4"/>
      <c r="U831" s="4"/>
      <c r="V831" s="4"/>
      <c r="W831" s="4"/>
      <c r="X831" s="4"/>
      <c r="Y831" s="4"/>
      <c r="Z831" s="4"/>
      <c r="AA831" s="4"/>
      <c r="AB831" s="4"/>
    </row>
    <row r="832" spans="1:28" ht="13.5" customHeight="1">
      <c r="A832" s="4"/>
      <c r="B832" s="9"/>
      <c r="C832" s="9"/>
      <c r="D832" s="4"/>
      <c r="E832" s="4"/>
      <c r="F832" s="4"/>
      <c r="G832" s="4"/>
      <c r="H832" s="4"/>
      <c r="I832" s="4"/>
      <c r="J832" s="4"/>
      <c r="K832" s="4"/>
      <c r="L832" s="38"/>
      <c r="M832" s="4"/>
      <c r="N832" s="4"/>
      <c r="O832" s="4"/>
      <c r="P832" s="4"/>
      <c r="Q832" s="4"/>
      <c r="R832" s="4"/>
      <c r="S832" s="4"/>
      <c r="T832" s="4"/>
      <c r="U832" s="4"/>
      <c r="V832" s="4"/>
      <c r="W832" s="4"/>
      <c r="X832" s="4"/>
      <c r="Y832" s="4"/>
      <c r="Z832" s="4"/>
      <c r="AA832" s="4"/>
      <c r="AB832" s="4"/>
    </row>
    <row r="833" spans="1:28" ht="13.5" customHeight="1">
      <c r="A833" s="4"/>
      <c r="B833" s="9"/>
      <c r="C833" s="9"/>
      <c r="D833" s="4"/>
      <c r="E833" s="4"/>
      <c r="F833" s="4"/>
      <c r="G833" s="4"/>
      <c r="H833" s="4"/>
      <c r="I833" s="4"/>
      <c r="J833" s="4"/>
      <c r="K833" s="4"/>
      <c r="L833" s="38"/>
      <c r="M833" s="4"/>
      <c r="N833" s="4"/>
      <c r="O833" s="4"/>
      <c r="P833" s="4"/>
      <c r="Q833" s="4"/>
      <c r="R833" s="4"/>
      <c r="S833" s="4"/>
      <c r="T833" s="4"/>
      <c r="U833" s="4"/>
      <c r="V833" s="4"/>
      <c r="W833" s="4"/>
      <c r="X833" s="4"/>
      <c r="Y833" s="4"/>
      <c r="Z833" s="4"/>
      <c r="AA833" s="4"/>
      <c r="AB833" s="4"/>
    </row>
    <row r="834" spans="1:28" ht="13.5" customHeight="1">
      <c r="A834" s="4"/>
      <c r="B834" s="9"/>
      <c r="C834" s="9"/>
      <c r="D834" s="4"/>
      <c r="E834" s="4"/>
      <c r="F834" s="4"/>
      <c r="G834" s="4"/>
      <c r="H834" s="4"/>
      <c r="I834" s="4"/>
      <c r="J834" s="4"/>
      <c r="K834" s="4"/>
      <c r="L834" s="38"/>
      <c r="M834" s="4"/>
      <c r="N834" s="4"/>
      <c r="O834" s="4"/>
      <c r="P834" s="4"/>
      <c r="Q834" s="4"/>
      <c r="R834" s="4"/>
      <c r="S834" s="4"/>
      <c r="T834" s="4"/>
      <c r="U834" s="4"/>
      <c r="V834" s="4"/>
      <c r="W834" s="4"/>
      <c r="X834" s="4"/>
      <c r="Y834" s="4"/>
      <c r="Z834" s="4"/>
      <c r="AA834" s="4"/>
      <c r="AB834" s="4"/>
    </row>
    <row r="835" spans="1:28" ht="13.5" customHeight="1">
      <c r="A835" s="4"/>
      <c r="B835" s="9"/>
      <c r="C835" s="9"/>
      <c r="D835" s="4"/>
      <c r="E835" s="4"/>
      <c r="F835" s="4"/>
      <c r="G835" s="4"/>
      <c r="H835" s="4"/>
      <c r="I835" s="4"/>
      <c r="J835" s="4"/>
      <c r="K835" s="4"/>
      <c r="L835" s="38"/>
      <c r="M835" s="4"/>
      <c r="N835" s="4"/>
      <c r="O835" s="4"/>
      <c r="P835" s="4"/>
      <c r="Q835" s="4"/>
      <c r="R835" s="4"/>
      <c r="S835" s="4"/>
      <c r="T835" s="4"/>
      <c r="U835" s="4"/>
      <c r="V835" s="4"/>
      <c r="W835" s="4"/>
      <c r="X835" s="4"/>
      <c r="Y835" s="4"/>
      <c r="Z835" s="4"/>
      <c r="AA835" s="4"/>
      <c r="AB835" s="4"/>
    </row>
    <row r="836" spans="1:28" ht="13.5" customHeight="1">
      <c r="A836" s="4"/>
      <c r="B836" s="9"/>
      <c r="C836" s="9"/>
      <c r="D836" s="4"/>
      <c r="E836" s="4"/>
      <c r="F836" s="4"/>
      <c r="G836" s="4"/>
      <c r="H836" s="4"/>
      <c r="I836" s="4"/>
      <c r="J836" s="4"/>
      <c r="K836" s="4"/>
      <c r="L836" s="38"/>
      <c r="M836" s="4"/>
      <c r="N836" s="4"/>
      <c r="O836" s="4"/>
      <c r="P836" s="4"/>
      <c r="Q836" s="4"/>
      <c r="R836" s="4"/>
      <c r="S836" s="4"/>
      <c r="T836" s="4"/>
      <c r="U836" s="4"/>
      <c r="V836" s="4"/>
      <c r="W836" s="4"/>
      <c r="X836" s="4"/>
      <c r="Y836" s="4"/>
      <c r="Z836" s="4"/>
      <c r="AA836" s="4"/>
      <c r="AB836" s="4"/>
    </row>
    <row r="837" spans="1:28" ht="13.5" customHeight="1">
      <c r="A837" s="4"/>
      <c r="B837" s="9"/>
      <c r="C837" s="9"/>
      <c r="D837" s="4"/>
      <c r="E837" s="4"/>
      <c r="F837" s="4"/>
      <c r="G837" s="4"/>
      <c r="H837" s="4"/>
      <c r="I837" s="4"/>
      <c r="J837" s="4"/>
      <c r="K837" s="4"/>
      <c r="L837" s="38"/>
      <c r="M837" s="4"/>
      <c r="N837" s="4"/>
      <c r="O837" s="4"/>
      <c r="P837" s="4"/>
      <c r="Q837" s="4"/>
      <c r="R837" s="4"/>
      <c r="S837" s="4"/>
      <c r="T837" s="4"/>
      <c r="U837" s="4"/>
      <c r="V837" s="4"/>
      <c r="W837" s="4"/>
      <c r="X837" s="4"/>
      <c r="Y837" s="4"/>
      <c r="Z837" s="4"/>
      <c r="AA837" s="4"/>
      <c r="AB837" s="4"/>
    </row>
    <row r="838" spans="1:28" ht="13.5" customHeight="1">
      <c r="A838" s="4"/>
      <c r="B838" s="9"/>
      <c r="C838" s="9"/>
      <c r="D838" s="4"/>
      <c r="E838" s="4"/>
      <c r="F838" s="4"/>
      <c r="G838" s="4"/>
      <c r="H838" s="4"/>
      <c r="I838" s="4"/>
      <c r="J838" s="4"/>
      <c r="K838" s="4"/>
      <c r="L838" s="38"/>
      <c r="M838" s="4"/>
      <c r="N838" s="4"/>
      <c r="O838" s="4"/>
      <c r="P838" s="4"/>
      <c r="Q838" s="4"/>
      <c r="R838" s="4"/>
      <c r="S838" s="4"/>
      <c r="T838" s="4"/>
      <c r="U838" s="4"/>
      <c r="V838" s="4"/>
      <c r="W838" s="4"/>
      <c r="X838" s="4"/>
      <c r="Y838" s="4"/>
      <c r="Z838" s="4"/>
      <c r="AA838" s="4"/>
      <c r="AB838" s="4"/>
    </row>
    <row r="839" spans="1:28" ht="13.5" customHeight="1">
      <c r="A839" s="4"/>
      <c r="B839" s="9"/>
      <c r="C839" s="9"/>
      <c r="D839" s="4"/>
      <c r="E839" s="4"/>
      <c r="F839" s="4"/>
      <c r="G839" s="4"/>
      <c r="H839" s="4"/>
      <c r="I839" s="4"/>
      <c r="J839" s="4"/>
      <c r="K839" s="4"/>
      <c r="L839" s="38"/>
      <c r="M839" s="4"/>
      <c r="N839" s="4"/>
      <c r="O839" s="4"/>
      <c r="P839" s="4"/>
      <c r="Q839" s="4"/>
      <c r="R839" s="4"/>
      <c r="S839" s="4"/>
      <c r="T839" s="4"/>
      <c r="U839" s="4"/>
      <c r="V839" s="4"/>
      <c r="W839" s="4"/>
      <c r="X839" s="4"/>
      <c r="Y839" s="4"/>
      <c r="Z839" s="4"/>
      <c r="AA839" s="4"/>
      <c r="AB839" s="4"/>
    </row>
    <row r="840" spans="1:28" ht="13.5" customHeight="1">
      <c r="A840" s="4"/>
      <c r="B840" s="9"/>
      <c r="C840" s="9"/>
      <c r="D840" s="4"/>
      <c r="E840" s="4"/>
      <c r="F840" s="4"/>
      <c r="G840" s="4"/>
      <c r="H840" s="4"/>
      <c r="I840" s="4"/>
      <c r="J840" s="4"/>
      <c r="K840" s="4"/>
      <c r="L840" s="38"/>
      <c r="M840" s="4"/>
      <c r="N840" s="4"/>
      <c r="O840" s="4"/>
      <c r="P840" s="4"/>
      <c r="Q840" s="4"/>
      <c r="R840" s="4"/>
      <c r="S840" s="4"/>
      <c r="T840" s="4"/>
      <c r="U840" s="4"/>
      <c r="V840" s="4"/>
      <c r="W840" s="4"/>
      <c r="X840" s="4"/>
      <c r="Y840" s="4"/>
      <c r="Z840" s="4"/>
      <c r="AA840" s="4"/>
      <c r="AB840" s="4"/>
    </row>
    <row r="841" spans="1:28" ht="13.5" customHeight="1">
      <c r="A841" s="4"/>
      <c r="B841" s="9"/>
      <c r="C841" s="9"/>
      <c r="D841" s="4"/>
      <c r="E841" s="4"/>
      <c r="F841" s="4"/>
      <c r="G841" s="4"/>
      <c r="H841" s="4"/>
      <c r="I841" s="4"/>
      <c r="J841" s="4"/>
      <c r="K841" s="4"/>
      <c r="L841" s="38"/>
      <c r="M841" s="4"/>
      <c r="N841" s="4"/>
      <c r="O841" s="4"/>
      <c r="P841" s="4"/>
      <c r="Q841" s="4"/>
      <c r="R841" s="4"/>
      <c r="S841" s="4"/>
      <c r="T841" s="4"/>
      <c r="U841" s="4"/>
      <c r="V841" s="4"/>
      <c r="W841" s="4"/>
      <c r="X841" s="4"/>
      <c r="Y841" s="4"/>
      <c r="Z841" s="4"/>
      <c r="AA841" s="4"/>
      <c r="AB841" s="4"/>
    </row>
    <row r="842" spans="1:28" ht="13.5" customHeight="1">
      <c r="A842" s="4"/>
      <c r="B842" s="9"/>
      <c r="C842" s="9"/>
      <c r="D842" s="4"/>
      <c r="E842" s="4"/>
      <c r="F842" s="4"/>
      <c r="G842" s="4"/>
      <c r="H842" s="4"/>
      <c r="I842" s="4"/>
      <c r="J842" s="4"/>
      <c r="K842" s="4"/>
      <c r="L842" s="38"/>
      <c r="M842" s="4"/>
      <c r="N842" s="4"/>
      <c r="O842" s="4"/>
      <c r="P842" s="4"/>
      <c r="Q842" s="4"/>
      <c r="R842" s="4"/>
      <c r="S842" s="4"/>
      <c r="T842" s="4"/>
      <c r="U842" s="4"/>
      <c r="V842" s="4"/>
      <c r="W842" s="4"/>
      <c r="X842" s="4"/>
      <c r="Y842" s="4"/>
      <c r="Z842" s="4"/>
      <c r="AA842" s="4"/>
      <c r="AB842" s="4"/>
    </row>
    <row r="843" spans="1:28" ht="13.5" customHeight="1">
      <c r="A843" s="4"/>
      <c r="B843" s="9"/>
      <c r="C843" s="9"/>
      <c r="D843" s="4"/>
      <c r="E843" s="4"/>
      <c r="F843" s="4"/>
      <c r="G843" s="4"/>
      <c r="H843" s="4"/>
      <c r="I843" s="4"/>
      <c r="J843" s="4"/>
      <c r="K843" s="4"/>
      <c r="L843" s="38"/>
      <c r="M843" s="4"/>
      <c r="N843" s="4"/>
      <c r="O843" s="4"/>
      <c r="P843" s="4"/>
      <c r="Q843" s="4"/>
      <c r="R843" s="4"/>
      <c r="S843" s="4"/>
      <c r="T843" s="4"/>
      <c r="U843" s="4"/>
      <c r="V843" s="4"/>
      <c r="W843" s="4"/>
      <c r="X843" s="4"/>
      <c r="Y843" s="4"/>
      <c r="Z843" s="4"/>
      <c r="AA843" s="4"/>
      <c r="AB843" s="4"/>
    </row>
    <row r="844" spans="1:28" ht="13.5" customHeight="1">
      <c r="A844" s="4"/>
      <c r="B844" s="9"/>
      <c r="C844" s="9"/>
      <c r="D844" s="4"/>
      <c r="E844" s="4"/>
      <c r="F844" s="4"/>
      <c r="G844" s="4"/>
      <c r="H844" s="4"/>
      <c r="I844" s="4"/>
      <c r="J844" s="4"/>
      <c r="K844" s="4"/>
      <c r="L844" s="38"/>
      <c r="M844" s="4"/>
      <c r="N844" s="4"/>
      <c r="O844" s="4"/>
      <c r="P844" s="4"/>
      <c r="Q844" s="4"/>
      <c r="R844" s="4"/>
      <c r="S844" s="4"/>
      <c r="T844" s="4"/>
      <c r="U844" s="4"/>
      <c r="V844" s="4"/>
      <c r="W844" s="4"/>
      <c r="X844" s="4"/>
      <c r="Y844" s="4"/>
      <c r="Z844" s="4"/>
      <c r="AA844" s="4"/>
      <c r="AB844" s="4"/>
    </row>
    <row r="845" spans="1:28" ht="13.5" customHeight="1">
      <c r="A845" s="4"/>
      <c r="B845" s="9"/>
      <c r="C845" s="9"/>
      <c r="D845" s="4"/>
      <c r="E845" s="4"/>
      <c r="F845" s="4"/>
      <c r="G845" s="4"/>
      <c r="H845" s="4"/>
      <c r="I845" s="4"/>
      <c r="J845" s="4"/>
      <c r="K845" s="4"/>
      <c r="L845" s="38"/>
      <c r="M845" s="4"/>
      <c r="N845" s="4"/>
      <c r="O845" s="4"/>
      <c r="P845" s="4"/>
      <c r="Q845" s="4"/>
      <c r="R845" s="4"/>
      <c r="S845" s="4"/>
      <c r="T845" s="4"/>
      <c r="U845" s="4"/>
      <c r="V845" s="4"/>
      <c r="W845" s="4"/>
      <c r="X845" s="4"/>
      <c r="Y845" s="4"/>
      <c r="Z845" s="4"/>
      <c r="AA845" s="4"/>
      <c r="AB845" s="4"/>
    </row>
    <row r="846" spans="1:28" ht="13.5" customHeight="1">
      <c r="A846" s="4"/>
      <c r="B846" s="9"/>
      <c r="C846" s="9"/>
      <c r="D846" s="4"/>
      <c r="E846" s="4"/>
      <c r="F846" s="4"/>
      <c r="G846" s="4"/>
      <c r="H846" s="4"/>
      <c r="I846" s="4"/>
      <c r="J846" s="4"/>
      <c r="K846" s="4"/>
      <c r="L846" s="38"/>
      <c r="M846" s="4"/>
      <c r="N846" s="4"/>
      <c r="O846" s="4"/>
      <c r="P846" s="4"/>
      <c r="Q846" s="4"/>
      <c r="R846" s="4"/>
      <c r="S846" s="4"/>
      <c r="T846" s="4"/>
      <c r="U846" s="4"/>
      <c r="V846" s="4"/>
      <c r="W846" s="4"/>
      <c r="X846" s="4"/>
      <c r="Y846" s="4"/>
      <c r="Z846" s="4"/>
      <c r="AA846" s="4"/>
      <c r="AB846" s="4"/>
    </row>
    <row r="847" spans="1:28" ht="13.5" customHeight="1">
      <c r="A847" s="4"/>
      <c r="B847" s="9"/>
      <c r="C847" s="9"/>
      <c r="D847" s="4"/>
      <c r="E847" s="4"/>
      <c r="F847" s="4"/>
      <c r="G847" s="4"/>
      <c r="H847" s="4"/>
      <c r="I847" s="4"/>
      <c r="J847" s="4"/>
      <c r="K847" s="4"/>
      <c r="L847" s="38"/>
      <c r="M847" s="4"/>
      <c r="N847" s="4"/>
      <c r="O847" s="4"/>
      <c r="P847" s="4"/>
      <c r="Q847" s="4"/>
      <c r="R847" s="4"/>
      <c r="S847" s="4"/>
      <c r="T847" s="4"/>
      <c r="U847" s="4"/>
      <c r="V847" s="4"/>
      <c r="W847" s="4"/>
      <c r="X847" s="4"/>
      <c r="Y847" s="4"/>
      <c r="Z847" s="4"/>
      <c r="AA847" s="4"/>
      <c r="AB847" s="4"/>
    </row>
    <row r="848" spans="1:28" ht="13.5" customHeight="1">
      <c r="A848" s="4"/>
      <c r="B848" s="9"/>
      <c r="C848" s="9"/>
      <c r="D848" s="4"/>
      <c r="E848" s="4"/>
      <c r="F848" s="4"/>
      <c r="G848" s="4"/>
      <c r="H848" s="4"/>
      <c r="I848" s="4"/>
      <c r="J848" s="4"/>
      <c r="K848" s="4"/>
      <c r="L848" s="38"/>
      <c r="M848" s="4"/>
      <c r="N848" s="4"/>
      <c r="O848" s="4"/>
      <c r="P848" s="4"/>
      <c r="Q848" s="4"/>
      <c r="R848" s="4"/>
      <c r="S848" s="4"/>
      <c r="T848" s="4"/>
      <c r="U848" s="4"/>
      <c r="V848" s="4"/>
      <c r="W848" s="4"/>
      <c r="X848" s="4"/>
      <c r="Y848" s="4"/>
      <c r="Z848" s="4"/>
      <c r="AA848" s="4"/>
      <c r="AB848" s="4"/>
    </row>
    <row r="849" spans="1:28" ht="13.5" customHeight="1">
      <c r="A849" s="4"/>
      <c r="B849" s="9"/>
      <c r="C849" s="9"/>
      <c r="D849" s="4"/>
      <c r="E849" s="4"/>
      <c r="F849" s="4"/>
      <c r="G849" s="4"/>
      <c r="H849" s="4"/>
      <c r="I849" s="4"/>
      <c r="J849" s="4"/>
      <c r="K849" s="4"/>
      <c r="L849" s="38"/>
      <c r="M849" s="4"/>
      <c r="N849" s="4"/>
      <c r="O849" s="4"/>
      <c r="P849" s="4"/>
      <c r="Q849" s="4"/>
      <c r="R849" s="4"/>
      <c r="S849" s="4"/>
      <c r="T849" s="4"/>
      <c r="U849" s="4"/>
      <c r="V849" s="4"/>
      <c r="W849" s="4"/>
      <c r="X849" s="4"/>
      <c r="Y849" s="4"/>
      <c r="Z849" s="4"/>
      <c r="AA849" s="4"/>
      <c r="AB849" s="4"/>
    </row>
    <row r="850" spans="1:28" ht="13.5" customHeight="1">
      <c r="A850" s="4"/>
      <c r="B850" s="9"/>
      <c r="C850" s="9"/>
      <c r="D850" s="4"/>
      <c r="E850" s="4"/>
      <c r="F850" s="4"/>
      <c r="G850" s="4"/>
      <c r="H850" s="4"/>
      <c r="I850" s="4"/>
      <c r="J850" s="4"/>
      <c r="K850" s="4"/>
      <c r="L850" s="38"/>
      <c r="M850" s="4"/>
      <c r="N850" s="4"/>
      <c r="O850" s="4"/>
      <c r="P850" s="4"/>
      <c r="Q850" s="4"/>
      <c r="R850" s="4"/>
      <c r="S850" s="4"/>
      <c r="T850" s="4"/>
      <c r="U850" s="4"/>
      <c r="V850" s="4"/>
      <c r="W850" s="4"/>
      <c r="X850" s="4"/>
      <c r="Y850" s="4"/>
      <c r="Z850" s="4"/>
      <c r="AA850" s="4"/>
      <c r="AB850" s="4"/>
    </row>
    <row r="851" spans="1:28" ht="13.5" customHeight="1">
      <c r="A851" s="4"/>
      <c r="B851" s="9"/>
      <c r="C851" s="9"/>
      <c r="D851" s="4"/>
      <c r="E851" s="4"/>
      <c r="F851" s="4"/>
      <c r="G851" s="4"/>
      <c r="H851" s="4"/>
      <c r="I851" s="4"/>
      <c r="J851" s="4"/>
      <c r="K851" s="4"/>
      <c r="L851" s="38"/>
      <c r="M851" s="4"/>
      <c r="N851" s="4"/>
      <c r="O851" s="4"/>
      <c r="P851" s="4"/>
      <c r="Q851" s="4"/>
      <c r="R851" s="4"/>
      <c r="S851" s="4"/>
      <c r="T851" s="4"/>
      <c r="U851" s="4"/>
      <c r="V851" s="4"/>
      <c r="W851" s="4"/>
      <c r="X851" s="4"/>
      <c r="Y851" s="4"/>
      <c r="Z851" s="4"/>
      <c r="AA851" s="4"/>
      <c r="AB851" s="4"/>
    </row>
    <row r="852" spans="1:28" ht="13.5" customHeight="1">
      <c r="A852" s="4"/>
      <c r="B852" s="9"/>
      <c r="C852" s="9"/>
      <c r="D852" s="4"/>
      <c r="E852" s="4"/>
      <c r="F852" s="4"/>
      <c r="G852" s="4"/>
      <c r="H852" s="4"/>
      <c r="I852" s="4"/>
      <c r="J852" s="4"/>
      <c r="K852" s="4"/>
      <c r="L852" s="38"/>
      <c r="M852" s="4"/>
      <c r="N852" s="4"/>
      <c r="O852" s="4"/>
      <c r="P852" s="4"/>
      <c r="Q852" s="4"/>
      <c r="R852" s="4"/>
      <c r="S852" s="4"/>
      <c r="T852" s="4"/>
      <c r="U852" s="4"/>
      <c r="V852" s="4"/>
      <c r="W852" s="4"/>
      <c r="X852" s="4"/>
      <c r="Y852" s="4"/>
      <c r="Z852" s="4"/>
      <c r="AA852" s="4"/>
      <c r="AB852" s="4"/>
    </row>
    <row r="853" spans="1:28" ht="13.5" customHeight="1">
      <c r="A853" s="4"/>
      <c r="B853" s="9"/>
      <c r="C853" s="9"/>
      <c r="D853" s="4"/>
      <c r="E853" s="4"/>
      <c r="F853" s="4"/>
      <c r="G853" s="4"/>
      <c r="H853" s="4"/>
      <c r="I853" s="4"/>
      <c r="J853" s="4"/>
      <c r="K853" s="4"/>
      <c r="L853" s="38"/>
      <c r="M853" s="4"/>
      <c r="N853" s="4"/>
      <c r="O853" s="4"/>
      <c r="P853" s="4"/>
      <c r="Q853" s="4"/>
      <c r="R853" s="4"/>
      <c r="S853" s="4"/>
      <c r="T853" s="4"/>
      <c r="U853" s="4"/>
      <c r="V853" s="4"/>
      <c r="W853" s="4"/>
      <c r="X853" s="4"/>
      <c r="Y853" s="4"/>
      <c r="Z853" s="4"/>
      <c r="AA853" s="4"/>
      <c r="AB853" s="4"/>
    </row>
    <row r="854" spans="1:28" ht="13.5" customHeight="1">
      <c r="A854" s="4"/>
      <c r="B854" s="9"/>
      <c r="C854" s="9"/>
      <c r="D854" s="4"/>
      <c r="E854" s="4"/>
      <c r="F854" s="4"/>
      <c r="G854" s="4"/>
      <c r="H854" s="4"/>
      <c r="I854" s="4"/>
      <c r="J854" s="4"/>
      <c r="K854" s="4"/>
      <c r="L854" s="38"/>
      <c r="M854" s="4"/>
      <c r="N854" s="4"/>
      <c r="O854" s="4"/>
      <c r="P854" s="4"/>
      <c r="Q854" s="4"/>
      <c r="R854" s="4"/>
      <c r="S854" s="4"/>
      <c r="T854" s="4"/>
      <c r="U854" s="4"/>
      <c r="V854" s="4"/>
      <c r="W854" s="4"/>
      <c r="X854" s="4"/>
      <c r="Y854" s="4"/>
      <c r="Z854" s="4"/>
      <c r="AA854" s="4"/>
      <c r="AB854" s="4"/>
    </row>
    <row r="855" spans="1:28" ht="13.5" customHeight="1">
      <c r="A855" s="4"/>
      <c r="B855" s="9"/>
      <c r="C855" s="9"/>
      <c r="D855" s="4"/>
      <c r="E855" s="4"/>
      <c r="F855" s="4"/>
      <c r="G855" s="4"/>
      <c r="H855" s="4"/>
      <c r="I855" s="4"/>
      <c r="J855" s="4"/>
      <c r="K855" s="4"/>
      <c r="L855" s="38"/>
      <c r="M855" s="4"/>
      <c r="N855" s="4"/>
      <c r="O855" s="4"/>
      <c r="P855" s="4"/>
      <c r="Q855" s="4"/>
      <c r="R855" s="4"/>
      <c r="S855" s="4"/>
      <c r="T855" s="4"/>
      <c r="U855" s="4"/>
      <c r="V855" s="4"/>
      <c r="W855" s="4"/>
      <c r="X855" s="4"/>
      <c r="Y855" s="4"/>
      <c r="Z855" s="4"/>
      <c r="AA855" s="4"/>
      <c r="AB855" s="4"/>
    </row>
    <row r="856" spans="1:28" ht="13.5" customHeight="1">
      <c r="A856" s="4"/>
      <c r="B856" s="9"/>
      <c r="C856" s="9"/>
      <c r="D856" s="4"/>
      <c r="E856" s="4"/>
      <c r="F856" s="4"/>
      <c r="G856" s="4"/>
      <c r="H856" s="4"/>
      <c r="I856" s="4"/>
      <c r="J856" s="4"/>
      <c r="K856" s="4"/>
      <c r="L856" s="38"/>
      <c r="M856" s="4"/>
      <c r="N856" s="4"/>
      <c r="O856" s="4"/>
      <c r="P856" s="4"/>
      <c r="Q856" s="4"/>
      <c r="R856" s="4"/>
      <c r="S856" s="4"/>
      <c r="T856" s="4"/>
      <c r="U856" s="4"/>
      <c r="V856" s="4"/>
      <c r="W856" s="4"/>
      <c r="X856" s="4"/>
      <c r="Y856" s="4"/>
      <c r="Z856" s="4"/>
      <c r="AA856" s="4"/>
      <c r="AB856" s="4"/>
    </row>
    <row r="857" spans="1:28" ht="13.5" customHeight="1">
      <c r="A857" s="4"/>
      <c r="B857" s="9"/>
      <c r="C857" s="9"/>
      <c r="D857" s="4"/>
      <c r="E857" s="4"/>
      <c r="F857" s="4"/>
      <c r="G857" s="4"/>
      <c r="H857" s="4"/>
      <c r="I857" s="4"/>
      <c r="J857" s="4"/>
      <c r="K857" s="4"/>
      <c r="L857" s="38"/>
      <c r="M857" s="4"/>
      <c r="N857" s="4"/>
      <c r="O857" s="4"/>
      <c r="P857" s="4"/>
      <c r="Q857" s="4"/>
      <c r="R857" s="4"/>
      <c r="S857" s="4"/>
      <c r="T857" s="4"/>
      <c r="U857" s="4"/>
      <c r="V857" s="4"/>
      <c r="W857" s="4"/>
      <c r="X857" s="4"/>
      <c r="Y857" s="4"/>
      <c r="Z857" s="4"/>
      <c r="AA857" s="4"/>
      <c r="AB857" s="4"/>
    </row>
    <row r="858" spans="1:28" ht="13.5" customHeight="1">
      <c r="A858" s="4"/>
      <c r="B858" s="9"/>
      <c r="C858" s="9"/>
      <c r="D858" s="4"/>
      <c r="E858" s="4"/>
      <c r="F858" s="4"/>
      <c r="G858" s="4"/>
      <c r="H858" s="4"/>
      <c r="I858" s="4"/>
      <c r="J858" s="4"/>
      <c r="K858" s="4"/>
      <c r="L858" s="38"/>
      <c r="M858" s="4"/>
      <c r="N858" s="4"/>
      <c r="O858" s="4"/>
      <c r="P858" s="4"/>
      <c r="Q858" s="4"/>
      <c r="R858" s="4"/>
      <c r="S858" s="4"/>
      <c r="T858" s="4"/>
      <c r="U858" s="4"/>
      <c r="V858" s="4"/>
      <c r="W858" s="4"/>
      <c r="X858" s="4"/>
      <c r="Y858" s="4"/>
      <c r="Z858" s="4"/>
      <c r="AA858" s="4"/>
      <c r="AB858" s="4"/>
    </row>
    <row r="859" spans="1:28" ht="13.5" customHeight="1">
      <c r="A859" s="4"/>
      <c r="B859" s="9"/>
      <c r="C859" s="9"/>
      <c r="D859" s="4"/>
      <c r="E859" s="4"/>
      <c r="F859" s="4"/>
      <c r="G859" s="4"/>
      <c r="H859" s="4"/>
      <c r="I859" s="4"/>
      <c r="J859" s="4"/>
      <c r="K859" s="4"/>
      <c r="L859" s="38"/>
      <c r="M859" s="4"/>
      <c r="N859" s="4"/>
      <c r="O859" s="4"/>
      <c r="P859" s="4"/>
      <c r="Q859" s="4"/>
      <c r="R859" s="4"/>
      <c r="S859" s="4"/>
      <c r="T859" s="4"/>
      <c r="U859" s="4"/>
      <c r="V859" s="4"/>
      <c r="W859" s="4"/>
      <c r="X859" s="4"/>
      <c r="Y859" s="4"/>
      <c r="Z859" s="4"/>
      <c r="AA859" s="4"/>
      <c r="AB859" s="4"/>
    </row>
    <row r="860" spans="1:28" ht="13.5" customHeight="1">
      <c r="A860" s="4"/>
      <c r="B860" s="9"/>
      <c r="C860" s="9"/>
      <c r="D860" s="4"/>
      <c r="E860" s="4"/>
      <c r="F860" s="4"/>
      <c r="G860" s="4"/>
      <c r="H860" s="4"/>
      <c r="I860" s="4"/>
      <c r="J860" s="4"/>
      <c r="K860" s="4"/>
      <c r="L860" s="38"/>
      <c r="M860" s="4"/>
      <c r="N860" s="4"/>
      <c r="O860" s="4"/>
      <c r="P860" s="4"/>
      <c r="Q860" s="4"/>
      <c r="R860" s="4"/>
      <c r="S860" s="4"/>
      <c r="T860" s="4"/>
      <c r="U860" s="4"/>
      <c r="V860" s="4"/>
      <c r="W860" s="4"/>
      <c r="X860" s="4"/>
      <c r="Y860" s="4"/>
      <c r="Z860" s="4"/>
      <c r="AA860" s="4"/>
      <c r="AB860" s="4"/>
    </row>
    <row r="861" spans="1:28" ht="13.5" customHeight="1">
      <c r="A861" s="4"/>
      <c r="B861" s="9"/>
      <c r="C861" s="9"/>
      <c r="D861" s="4"/>
      <c r="E861" s="4"/>
      <c r="F861" s="4"/>
      <c r="G861" s="4"/>
      <c r="H861" s="4"/>
      <c r="I861" s="4"/>
      <c r="J861" s="4"/>
      <c r="K861" s="4"/>
      <c r="L861" s="38"/>
      <c r="M861" s="4"/>
      <c r="N861" s="4"/>
      <c r="O861" s="4"/>
      <c r="P861" s="4"/>
      <c r="Q861" s="4"/>
      <c r="R861" s="4"/>
      <c r="S861" s="4"/>
      <c r="T861" s="4"/>
      <c r="U861" s="4"/>
      <c r="V861" s="4"/>
      <c r="W861" s="4"/>
      <c r="X861" s="4"/>
      <c r="Y861" s="4"/>
      <c r="Z861" s="4"/>
      <c r="AA861" s="4"/>
      <c r="AB861" s="4"/>
    </row>
    <row r="862" spans="1:28" ht="13.5" customHeight="1">
      <c r="A862" s="4"/>
      <c r="B862" s="9"/>
      <c r="C862" s="9"/>
      <c r="D862" s="4"/>
      <c r="E862" s="4"/>
      <c r="F862" s="4"/>
      <c r="G862" s="4"/>
      <c r="H862" s="4"/>
      <c r="I862" s="4"/>
      <c r="J862" s="4"/>
      <c r="K862" s="4"/>
      <c r="L862" s="38"/>
      <c r="M862" s="4"/>
      <c r="N862" s="4"/>
      <c r="O862" s="4"/>
      <c r="P862" s="4"/>
      <c r="Q862" s="4"/>
      <c r="R862" s="4"/>
      <c r="S862" s="4"/>
      <c r="T862" s="4"/>
      <c r="U862" s="4"/>
      <c r="V862" s="4"/>
      <c r="W862" s="4"/>
      <c r="X862" s="4"/>
      <c r="Y862" s="4"/>
      <c r="Z862" s="4"/>
      <c r="AA862" s="4"/>
      <c r="AB862" s="4"/>
    </row>
    <row r="863" spans="1:28" ht="13.5" customHeight="1">
      <c r="A863" s="4"/>
      <c r="B863" s="9"/>
      <c r="C863" s="9"/>
      <c r="D863" s="4"/>
      <c r="E863" s="4"/>
      <c r="F863" s="4"/>
      <c r="G863" s="4"/>
      <c r="H863" s="4"/>
      <c r="I863" s="4"/>
      <c r="J863" s="4"/>
      <c r="K863" s="4"/>
      <c r="L863" s="38"/>
      <c r="M863" s="4"/>
      <c r="N863" s="4"/>
      <c r="O863" s="4"/>
      <c r="P863" s="4"/>
      <c r="Q863" s="4"/>
      <c r="R863" s="4"/>
      <c r="S863" s="4"/>
      <c r="T863" s="4"/>
      <c r="U863" s="4"/>
      <c r="V863" s="4"/>
      <c r="W863" s="4"/>
      <c r="X863" s="4"/>
      <c r="Y863" s="4"/>
      <c r="Z863" s="4"/>
      <c r="AA863" s="4"/>
      <c r="AB863" s="4"/>
    </row>
    <row r="864" spans="1:28" ht="13.5" customHeight="1">
      <c r="A864" s="4"/>
      <c r="B864" s="9"/>
      <c r="C864" s="9"/>
      <c r="D864" s="4"/>
      <c r="E864" s="4"/>
      <c r="F864" s="4"/>
      <c r="G864" s="4"/>
      <c r="H864" s="4"/>
      <c r="I864" s="4"/>
      <c r="J864" s="4"/>
      <c r="K864" s="4"/>
      <c r="L864" s="38"/>
      <c r="M864" s="4"/>
      <c r="N864" s="4"/>
      <c r="O864" s="4"/>
      <c r="P864" s="4"/>
      <c r="Q864" s="4"/>
      <c r="R864" s="4"/>
      <c r="S864" s="4"/>
      <c r="T864" s="4"/>
      <c r="U864" s="4"/>
      <c r="V864" s="4"/>
      <c r="W864" s="4"/>
      <c r="X864" s="4"/>
      <c r="Y864" s="4"/>
      <c r="Z864" s="4"/>
      <c r="AA864" s="4"/>
      <c r="AB864" s="4"/>
    </row>
    <row r="865" spans="1:28" ht="13.5" customHeight="1">
      <c r="A865" s="4"/>
      <c r="B865" s="9"/>
      <c r="C865" s="9"/>
      <c r="D865" s="4"/>
      <c r="E865" s="4"/>
      <c r="F865" s="4"/>
      <c r="G865" s="4"/>
      <c r="H865" s="4"/>
      <c r="I865" s="4"/>
      <c r="J865" s="4"/>
      <c r="K865" s="4"/>
      <c r="L865" s="38"/>
      <c r="M865" s="4"/>
      <c r="N865" s="4"/>
      <c r="O865" s="4"/>
      <c r="P865" s="4"/>
      <c r="Q865" s="4"/>
      <c r="R865" s="4"/>
      <c r="S865" s="4"/>
      <c r="T865" s="4"/>
      <c r="U865" s="4"/>
      <c r="V865" s="4"/>
      <c r="W865" s="4"/>
      <c r="X865" s="4"/>
      <c r="Y865" s="4"/>
      <c r="Z865" s="4"/>
      <c r="AA865" s="4"/>
      <c r="AB865" s="4"/>
    </row>
    <row r="866" spans="1:28" ht="13.5" customHeight="1">
      <c r="A866" s="4"/>
      <c r="B866" s="9"/>
      <c r="C866" s="9"/>
      <c r="D866" s="4"/>
      <c r="E866" s="4"/>
      <c r="F866" s="4"/>
      <c r="G866" s="4"/>
      <c r="H866" s="4"/>
      <c r="I866" s="4"/>
      <c r="J866" s="4"/>
      <c r="K866" s="4"/>
      <c r="L866" s="38"/>
      <c r="M866" s="4"/>
      <c r="N866" s="4"/>
      <c r="O866" s="4"/>
      <c r="P866" s="4"/>
      <c r="Q866" s="4"/>
      <c r="R866" s="4"/>
      <c r="S866" s="4"/>
      <c r="T866" s="4"/>
      <c r="U866" s="4"/>
      <c r="V866" s="4"/>
      <c r="W866" s="4"/>
      <c r="X866" s="4"/>
      <c r="Y866" s="4"/>
      <c r="Z866" s="4"/>
      <c r="AA866" s="4"/>
      <c r="AB866" s="4"/>
    </row>
    <row r="867" spans="1:28" ht="13.5" customHeight="1">
      <c r="A867" s="4"/>
      <c r="B867" s="9"/>
      <c r="C867" s="9"/>
      <c r="D867" s="4"/>
      <c r="E867" s="4"/>
      <c r="F867" s="4"/>
      <c r="G867" s="4"/>
      <c r="H867" s="4"/>
      <c r="I867" s="4"/>
      <c r="J867" s="4"/>
      <c r="K867" s="4"/>
      <c r="L867" s="38"/>
      <c r="M867" s="4"/>
      <c r="N867" s="4"/>
      <c r="O867" s="4"/>
      <c r="P867" s="4"/>
      <c r="Q867" s="4"/>
      <c r="R867" s="4"/>
      <c r="S867" s="4"/>
      <c r="T867" s="4"/>
      <c r="U867" s="4"/>
      <c r="V867" s="4"/>
      <c r="W867" s="4"/>
      <c r="X867" s="4"/>
      <c r="Y867" s="4"/>
      <c r="Z867" s="4"/>
      <c r="AA867" s="4"/>
      <c r="AB867" s="4"/>
    </row>
    <row r="868" spans="1:28" ht="13.5" customHeight="1">
      <c r="A868" s="4"/>
      <c r="B868" s="9"/>
      <c r="C868" s="9"/>
      <c r="D868" s="4"/>
      <c r="E868" s="4"/>
      <c r="F868" s="4"/>
      <c r="G868" s="4"/>
      <c r="H868" s="4"/>
      <c r="I868" s="4"/>
      <c r="J868" s="4"/>
      <c r="K868" s="4"/>
      <c r="L868" s="38"/>
      <c r="M868" s="4"/>
      <c r="N868" s="4"/>
      <c r="O868" s="4"/>
      <c r="P868" s="4"/>
      <c r="Q868" s="4"/>
      <c r="R868" s="4"/>
      <c r="S868" s="4"/>
      <c r="T868" s="4"/>
      <c r="U868" s="4"/>
      <c r="V868" s="4"/>
      <c r="W868" s="4"/>
      <c r="X868" s="4"/>
      <c r="Y868" s="4"/>
      <c r="Z868" s="4"/>
      <c r="AA868" s="4"/>
      <c r="AB868" s="4"/>
    </row>
    <row r="869" spans="1:28" ht="13.5" customHeight="1">
      <c r="A869" s="4"/>
      <c r="B869" s="9"/>
      <c r="C869" s="9"/>
      <c r="D869" s="4"/>
      <c r="E869" s="4"/>
      <c r="F869" s="4"/>
      <c r="G869" s="4"/>
      <c r="H869" s="4"/>
      <c r="I869" s="4"/>
      <c r="J869" s="4"/>
      <c r="K869" s="4"/>
      <c r="L869" s="38"/>
      <c r="M869" s="4"/>
      <c r="N869" s="4"/>
      <c r="O869" s="4"/>
      <c r="P869" s="4"/>
      <c r="Q869" s="4"/>
      <c r="R869" s="4"/>
      <c r="S869" s="4"/>
      <c r="T869" s="4"/>
      <c r="U869" s="4"/>
      <c r="V869" s="4"/>
      <c r="W869" s="4"/>
      <c r="X869" s="4"/>
      <c r="Y869" s="4"/>
      <c r="Z869" s="4"/>
      <c r="AA869" s="4"/>
      <c r="AB869" s="4"/>
    </row>
    <row r="870" spans="1:28" ht="13.5" customHeight="1">
      <c r="A870" s="4"/>
      <c r="B870" s="9"/>
      <c r="C870" s="9"/>
      <c r="D870" s="4"/>
      <c r="E870" s="4"/>
      <c r="F870" s="4"/>
      <c r="G870" s="4"/>
      <c r="H870" s="4"/>
      <c r="I870" s="4"/>
      <c r="J870" s="4"/>
      <c r="K870" s="4"/>
      <c r="L870" s="38"/>
      <c r="M870" s="4"/>
      <c r="N870" s="4"/>
      <c r="O870" s="4"/>
      <c r="P870" s="4"/>
      <c r="Q870" s="4"/>
      <c r="R870" s="4"/>
      <c r="S870" s="4"/>
      <c r="T870" s="4"/>
      <c r="U870" s="4"/>
      <c r="V870" s="4"/>
      <c r="W870" s="4"/>
      <c r="X870" s="4"/>
      <c r="Y870" s="4"/>
      <c r="Z870" s="4"/>
      <c r="AA870" s="4"/>
      <c r="AB870" s="4"/>
    </row>
    <row r="871" spans="1:28" ht="13.5" customHeight="1">
      <c r="A871" s="4"/>
      <c r="B871" s="9"/>
      <c r="C871" s="9"/>
      <c r="D871" s="4"/>
      <c r="E871" s="4"/>
      <c r="F871" s="4"/>
      <c r="G871" s="4"/>
      <c r="H871" s="4"/>
      <c r="I871" s="4"/>
      <c r="J871" s="4"/>
      <c r="K871" s="4"/>
      <c r="L871" s="38"/>
      <c r="M871" s="4"/>
      <c r="N871" s="4"/>
      <c r="O871" s="4"/>
      <c r="P871" s="4"/>
      <c r="Q871" s="4"/>
      <c r="R871" s="4"/>
      <c r="S871" s="4"/>
      <c r="T871" s="4"/>
      <c r="U871" s="4"/>
      <c r="V871" s="4"/>
      <c r="W871" s="4"/>
      <c r="X871" s="4"/>
      <c r="Y871" s="4"/>
      <c r="Z871" s="4"/>
      <c r="AA871" s="4"/>
      <c r="AB871" s="4"/>
    </row>
    <row r="872" spans="1:28" ht="13.5" customHeight="1">
      <c r="A872" s="4"/>
      <c r="B872" s="9"/>
      <c r="C872" s="9"/>
      <c r="D872" s="4"/>
      <c r="E872" s="4"/>
      <c r="F872" s="4"/>
      <c r="G872" s="4"/>
      <c r="H872" s="4"/>
      <c r="I872" s="4"/>
      <c r="J872" s="4"/>
      <c r="K872" s="4"/>
      <c r="L872" s="38"/>
      <c r="M872" s="4"/>
      <c r="N872" s="4"/>
      <c r="O872" s="4"/>
      <c r="P872" s="4"/>
      <c r="Q872" s="4"/>
      <c r="R872" s="4"/>
      <c r="S872" s="4"/>
      <c r="T872" s="4"/>
      <c r="U872" s="4"/>
      <c r="V872" s="4"/>
      <c r="W872" s="4"/>
      <c r="X872" s="4"/>
      <c r="Y872" s="4"/>
      <c r="Z872" s="4"/>
      <c r="AA872" s="4"/>
      <c r="AB872" s="4"/>
    </row>
    <row r="873" spans="1:28" ht="13.5" customHeight="1">
      <c r="A873" s="4"/>
      <c r="B873" s="9"/>
      <c r="C873" s="9"/>
      <c r="D873" s="4"/>
      <c r="E873" s="4"/>
      <c r="F873" s="4"/>
      <c r="G873" s="4"/>
      <c r="H873" s="4"/>
      <c r="I873" s="4"/>
      <c r="J873" s="4"/>
      <c r="K873" s="4"/>
      <c r="L873" s="38"/>
      <c r="M873" s="4"/>
      <c r="N873" s="4"/>
      <c r="O873" s="4"/>
      <c r="P873" s="4"/>
      <c r="Q873" s="4"/>
      <c r="R873" s="4"/>
      <c r="S873" s="4"/>
      <c r="T873" s="4"/>
      <c r="U873" s="4"/>
      <c r="V873" s="4"/>
      <c r="W873" s="4"/>
      <c r="X873" s="4"/>
      <c r="Y873" s="4"/>
      <c r="Z873" s="4"/>
      <c r="AA873" s="4"/>
      <c r="AB873" s="4"/>
    </row>
    <row r="874" spans="1:28" ht="13.5" customHeight="1">
      <c r="A874" s="4"/>
      <c r="B874" s="9"/>
      <c r="C874" s="9"/>
      <c r="D874" s="4"/>
      <c r="E874" s="4"/>
      <c r="F874" s="4"/>
      <c r="G874" s="4"/>
      <c r="H874" s="4"/>
      <c r="I874" s="4"/>
      <c r="J874" s="4"/>
      <c r="K874" s="4"/>
      <c r="L874" s="38"/>
      <c r="M874" s="4"/>
      <c r="N874" s="4"/>
      <c r="O874" s="4"/>
      <c r="P874" s="4"/>
      <c r="Q874" s="4"/>
      <c r="R874" s="4"/>
      <c r="S874" s="4"/>
      <c r="T874" s="4"/>
      <c r="U874" s="4"/>
      <c r="V874" s="4"/>
      <c r="W874" s="4"/>
      <c r="X874" s="4"/>
      <c r="Y874" s="4"/>
      <c r="Z874" s="4"/>
      <c r="AA874" s="4"/>
      <c r="AB874" s="4"/>
    </row>
    <row r="875" spans="1:28" ht="13.5" customHeight="1">
      <c r="A875" s="4"/>
      <c r="B875" s="9"/>
      <c r="C875" s="9"/>
      <c r="D875" s="4"/>
      <c r="E875" s="4"/>
      <c r="F875" s="4"/>
      <c r="G875" s="4"/>
      <c r="H875" s="4"/>
      <c r="I875" s="4"/>
      <c r="J875" s="4"/>
      <c r="K875" s="4"/>
      <c r="L875" s="38"/>
      <c r="M875" s="4"/>
      <c r="N875" s="4"/>
      <c r="O875" s="4"/>
      <c r="P875" s="4"/>
      <c r="Q875" s="4"/>
      <c r="R875" s="4"/>
      <c r="S875" s="4"/>
      <c r="T875" s="4"/>
      <c r="U875" s="4"/>
      <c r="V875" s="4"/>
      <c r="W875" s="4"/>
      <c r="X875" s="4"/>
      <c r="Y875" s="4"/>
      <c r="Z875" s="4"/>
      <c r="AA875" s="4"/>
      <c r="AB875" s="4"/>
    </row>
    <row r="876" spans="1:28" ht="13.5" customHeight="1">
      <c r="A876" s="4"/>
      <c r="B876" s="9"/>
      <c r="C876" s="9"/>
      <c r="D876" s="4"/>
      <c r="E876" s="4"/>
      <c r="F876" s="4"/>
      <c r="G876" s="4"/>
      <c r="H876" s="4"/>
      <c r="I876" s="4"/>
      <c r="J876" s="4"/>
      <c r="K876" s="4"/>
      <c r="L876" s="38"/>
      <c r="M876" s="4"/>
      <c r="N876" s="4"/>
      <c r="O876" s="4"/>
      <c r="P876" s="4"/>
      <c r="Q876" s="4"/>
      <c r="R876" s="4"/>
      <c r="S876" s="4"/>
      <c r="T876" s="4"/>
      <c r="U876" s="4"/>
      <c r="V876" s="4"/>
      <c r="W876" s="4"/>
      <c r="X876" s="4"/>
      <c r="Y876" s="4"/>
      <c r="Z876" s="4"/>
      <c r="AA876" s="4"/>
      <c r="AB876" s="4"/>
    </row>
    <row r="877" spans="1:28" ht="13.5" customHeight="1">
      <c r="A877" s="4"/>
      <c r="B877" s="9"/>
      <c r="C877" s="9"/>
      <c r="D877" s="4"/>
      <c r="E877" s="4"/>
      <c r="F877" s="4"/>
      <c r="G877" s="4"/>
      <c r="H877" s="4"/>
      <c r="I877" s="4"/>
      <c r="J877" s="4"/>
      <c r="K877" s="4"/>
      <c r="L877" s="38"/>
      <c r="M877" s="4"/>
      <c r="N877" s="4"/>
      <c r="O877" s="4"/>
      <c r="P877" s="4"/>
      <c r="Q877" s="4"/>
      <c r="R877" s="4"/>
      <c r="S877" s="4"/>
      <c r="T877" s="4"/>
      <c r="U877" s="4"/>
      <c r="V877" s="4"/>
      <c r="W877" s="4"/>
      <c r="X877" s="4"/>
      <c r="Y877" s="4"/>
      <c r="Z877" s="4"/>
      <c r="AA877" s="4"/>
      <c r="AB877" s="4"/>
    </row>
    <row r="878" spans="1:28" ht="13.5" customHeight="1">
      <c r="A878" s="4"/>
      <c r="B878" s="9"/>
      <c r="C878" s="9"/>
      <c r="D878" s="4"/>
      <c r="E878" s="4"/>
      <c r="F878" s="4"/>
      <c r="G878" s="4"/>
      <c r="H878" s="4"/>
      <c r="I878" s="4"/>
      <c r="J878" s="4"/>
      <c r="K878" s="4"/>
      <c r="L878" s="38"/>
      <c r="M878" s="4"/>
      <c r="N878" s="4"/>
      <c r="O878" s="4"/>
      <c r="P878" s="4"/>
      <c r="Q878" s="4"/>
      <c r="R878" s="4"/>
      <c r="S878" s="4"/>
      <c r="T878" s="4"/>
      <c r="U878" s="4"/>
      <c r="V878" s="4"/>
      <c r="W878" s="4"/>
      <c r="X878" s="4"/>
      <c r="Y878" s="4"/>
      <c r="Z878" s="4"/>
      <c r="AA878" s="4"/>
      <c r="AB878" s="4"/>
    </row>
    <row r="879" spans="1:28" ht="13.5" customHeight="1">
      <c r="A879" s="4"/>
      <c r="B879" s="9"/>
      <c r="C879" s="9"/>
      <c r="D879" s="4"/>
      <c r="E879" s="4"/>
      <c r="F879" s="4"/>
      <c r="G879" s="4"/>
      <c r="H879" s="4"/>
      <c r="I879" s="4"/>
      <c r="J879" s="4"/>
      <c r="K879" s="4"/>
      <c r="L879" s="38"/>
      <c r="M879" s="4"/>
      <c r="N879" s="4"/>
      <c r="O879" s="4"/>
      <c r="P879" s="4"/>
      <c r="Q879" s="4"/>
      <c r="R879" s="4"/>
      <c r="S879" s="4"/>
      <c r="T879" s="4"/>
      <c r="U879" s="4"/>
      <c r="V879" s="4"/>
      <c r="W879" s="4"/>
      <c r="X879" s="4"/>
      <c r="Y879" s="4"/>
      <c r="Z879" s="4"/>
      <c r="AA879" s="4"/>
      <c r="AB879" s="4"/>
    </row>
    <row r="880" spans="1:28" ht="13.5" customHeight="1">
      <c r="A880" s="4"/>
      <c r="B880" s="9"/>
      <c r="C880" s="9"/>
      <c r="D880" s="4"/>
      <c r="E880" s="4"/>
      <c r="F880" s="4"/>
      <c r="G880" s="4"/>
      <c r="H880" s="4"/>
      <c r="I880" s="4"/>
      <c r="J880" s="4"/>
      <c r="K880" s="4"/>
      <c r="L880" s="38"/>
      <c r="M880" s="4"/>
      <c r="N880" s="4"/>
      <c r="O880" s="4"/>
      <c r="P880" s="4"/>
      <c r="Q880" s="4"/>
      <c r="R880" s="4"/>
      <c r="S880" s="4"/>
      <c r="T880" s="4"/>
      <c r="U880" s="4"/>
      <c r="V880" s="4"/>
      <c r="W880" s="4"/>
      <c r="X880" s="4"/>
      <c r="Y880" s="4"/>
      <c r="Z880" s="4"/>
      <c r="AA880" s="4"/>
      <c r="AB880" s="4"/>
    </row>
    <row r="881" spans="1:28" ht="13.5" customHeight="1">
      <c r="A881" s="4"/>
      <c r="B881" s="9"/>
      <c r="C881" s="9"/>
      <c r="D881" s="4"/>
      <c r="E881" s="4"/>
      <c r="F881" s="4"/>
      <c r="G881" s="4"/>
      <c r="H881" s="4"/>
      <c r="I881" s="4"/>
      <c r="J881" s="4"/>
      <c r="K881" s="4"/>
      <c r="L881" s="38"/>
      <c r="M881" s="4"/>
      <c r="N881" s="4"/>
      <c r="O881" s="4"/>
      <c r="P881" s="4"/>
      <c r="Q881" s="4"/>
      <c r="R881" s="4"/>
      <c r="S881" s="4"/>
      <c r="T881" s="4"/>
      <c r="U881" s="4"/>
      <c r="V881" s="4"/>
      <c r="W881" s="4"/>
      <c r="X881" s="4"/>
      <c r="Y881" s="4"/>
      <c r="Z881" s="4"/>
      <c r="AA881" s="4"/>
      <c r="AB881" s="4"/>
    </row>
    <row r="882" spans="1:28" ht="13.5" customHeight="1">
      <c r="A882" s="4"/>
      <c r="B882" s="9"/>
      <c r="C882" s="9"/>
      <c r="D882" s="4"/>
      <c r="E882" s="4"/>
      <c r="F882" s="4"/>
      <c r="G882" s="4"/>
      <c r="H882" s="4"/>
      <c r="I882" s="4"/>
      <c r="J882" s="4"/>
      <c r="K882" s="4"/>
      <c r="L882" s="38"/>
      <c r="M882" s="4"/>
      <c r="N882" s="4"/>
      <c r="O882" s="4"/>
      <c r="P882" s="4"/>
      <c r="Q882" s="4"/>
      <c r="R882" s="4"/>
      <c r="S882" s="4"/>
      <c r="T882" s="4"/>
      <c r="U882" s="4"/>
      <c r="V882" s="4"/>
      <c r="W882" s="4"/>
      <c r="X882" s="4"/>
      <c r="Y882" s="4"/>
      <c r="Z882" s="4"/>
      <c r="AA882" s="4"/>
      <c r="AB882" s="4"/>
    </row>
    <row r="883" spans="1:28" ht="13.5" customHeight="1">
      <c r="A883" s="4"/>
      <c r="B883" s="9"/>
      <c r="C883" s="9"/>
      <c r="D883" s="4"/>
      <c r="E883" s="4"/>
      <c r="F883" s="4"/>
      <c r="G883" s="4"/>
      <c r="H883" s="4"/>
      <c r="I883" s="4"/>
      <c r="J883" s="4"/>
      <c r="K883" s="4"/>
      <c r="L883" s="38"/>
      <c r="M883" s="4"/>
      <c r="N883" s="4"/>
      <c r="O883" s="4"/>
      <c r="P883" s="4"/>
      <c r="Q883" s="4"/>
      <c r="R883" s="4"/>
      <c r="S883" s="4"/>
      <c r="T883" s="4"/>
      <c r="U883" s="4"/>
      <c r="V883" s="4"/>
      <c r="W883" s="4"/>
      <c r="X883" s="4"/>
      <c r="Y883" s="4"/>
      <c r="Z883" s="4"/>
      <c r="AA883" s="4"/>
      <c r="AB883" s="4"/>
    </row>
    <row r="884" spans="1:28" ht="13.5" customHeight="1">
      <c r="A884" s="4"/>
      <c r="B884" s="9"/>
      <c r="C884" s="9"/>
      <c r="D884" s="4"/>
      <c r="E884" s="4"/>
      <c r="F884" s="4"/>
      <c r="G884" s="4"/>
      <c r="H884" s="4"/>
      <c r="I884" s="4"/>
      <c r="J884" s="4"/>
      <c r="K884" s="4"/>
      <c r="L884" s="38"/>
      <c r="M884" s="4"/>
      <c r="N884" s="4"/>
      <c r="O884" s="4"/>
      <c r="P884" s="4"/>
      <c r="Q884" s="4"/>
      <c r="R884" s="4"/>
      <c r="S884" s="4"/>
      <c r="T884" s="4"/>
      <c r="U884" s="4"/>
      <c r="V884" s="4"/>
      <c r="W884" s="4"/>
      <c r="X884" s="4"/>
      <c r="Y884" s="4"/>
      <c r="Z884" s="4"/>
      <c r="AA884" s="4"/>
      <c r="AB884" s="4"/>
    </row>
    <row r="885" spans="1:28" ht="13.5" customHeight="1">
      <c r="A885" s="4"/>
      <c r="B885" s="9"/>
      <c r="C885" s="9"/>
      <c r="D885" s="4"/>
      <c r="E885" s="4"/>
      <c r="F885" s="4"/>
      <c r="G885" s="4"/>
      <c r="H885" s="4"/>
      <c r="I885" s="4"/>
      <c r="J885" s="4"/>
      <c r="K885" s="4"/>
      <c r="L885" s="38"/>
      <c r="M885" s="4"/>
      <c r="N885" s="4"/>
      <c r="O885" s="4"/>
      <c r="P885" s="4"/>
      <c r="Q885" s="4"/>
      <c r="R885" s="4"/>
      <c r="S885" s="4"/>
      <c r="T885" s="4"/>
      <c r="U885" s="4"/>
      <c r="V885" s="4"/>
      <c r="W885" s="4"/>
      <c r="X885" s="4"/>
      <c r="Y885" s="4"/>
      <c r="Z885" s="4"/>
      <c r="AA885" s="4"/>
      <c r="AB885" s="4"/>
    </row>
    <row r="886" spans="1:28" ht="13.5" customHeight="1">
      <c r="A886" s="4"/>
      <c r="B886" s="9"/>
      <c r="C886" s="9"/>
      <c r="D886" s="4"/>
      <c r="E886" s="4"/>
      <c r="F886" s="4"/>
      <c r="G886" s="4"/>
      <c r="H886" s="4"/>
      <c r="I886" s="4"/>
      <c r="J886" s="4"/>
      <c r="K886" s="4"/>
      <c r="L886" s="38"/>
      <c r="M886" s="4"/>
      <c r="N886" s="4"/>
      <c r="O886" s="4"/>
      <c r="P886" s="4"/>
      <c r="Q886" s="4"/>
      <c r="R886" s="4"/>
      <c r="S886" s="4"/>
      <c r="T886" s="4"/>
      <c r="U886" s="4"/>
      <c r="V886" s="4"/>
      <c r="W886" s="4"/>
      <c r="X886" s="4"/>
      <c r="Y886" s="4"/>
      <c r="Z886" s="4"/>
      <c r="AA886" s="4"/>
      <c r="AB886" s="4"/>
    </row>
    <row r="887" spans="1:28" ht="13.5" customHeight="1">
      <c r="A887" s="4"/>
      <c r="B887" s="9"/>
      <c r="C887" s="9"/>
      <c r="D887" s="4"/>
      <c r="E887" s="4"/>
      <c r="F887" s="4"/>
      <c r="G887" s="4"/>
      <c r="H887" s="4"/>
      <c r="I887" s="4"/>
      <c r="J887" s="4"/>
      <c r="K887" s="4"/>
      <c r="L887" s="38"/>
      <c r="M887" s="4"/>
      <c r="N887" s="4"/>
      <c r="O887" s="4"/>
      <c r="P887" s="4"/>
      <c r="Q887" s="4"/>
      <c r="R887" s="4"/>
      <c r="S887" s="4"/>
      <c r="T887" s="4"/>
      <c r="U887" s="4"/>
      <c r="V887" s="4"/>
      <c r="W887" s="4"/>
      <c r="X887" s="4"/>
      <c r="Y887" s="4"/>
      <c r="Z887" s="4"/>
      <c r="AA887" s="4"/>
      <c r="AB887" s="4"/>
    </row>
    <row r="888" spans="1:28" ht="13.5" customHeight="1">
      <c r="A888" s="4"/>
      <c r="B888" s="9"/>
      <c r="C888" s="9"/>
      <c r="D888" s="4"/>
      <c r="E888" s="4"/>
      <c r="F888" s="4"/>
      <c r="G888" s="4"/>
      <c r="H888" s="4"/>
      <c r="I888" s="4"/>
      <c r="J888" s="4"/>
      <c r="K888" s="4"/>
      <c r="L888" s="38"/>
      <c r="M888" s="4"/>
      <c r="N888" s="4"/>
      <c r="O888" s="4"/>
      <c r="P888" s="4"/>
      <c r="Q888" s="4"/>
      <c r="R888" s="4"/>
      <c r="S888" s="4"/>
      <c r="T888" s="4"/>
      <c r="U888" s="4"/>
      <c r="V888" s="4"/>
      <c r="W888" s="4"/>
      <c r="X888" s="4"/>
      <c r="Y888" s="4"/>
      <c r="Z888" s="4"/>
      <c r="AA888" s="4"/>
      <c r="AB888" s="4"/>
    </row>
    <row r="889" spans="1:28" ht="13.5" customHeight="1">
      <c r="A889" s="4"/>
      <c r="B889" s="9"/>
      <c r="C889" s="9"/>
      <c r="D889" s="4"/>
      <c r="E889" s="4"/>
      <c r="F889" s="4"/>
      <c r="G889" s="4"/>
      <c r="H889" s="4"/>
      <c r="I889" s="4"/>
      <c r="J889" s="4"/>
      <c r="K889" s="4"/>
      <c r="L889" s="38"/>
      <c r="M889" s="4"/>
      <c r="N889" s="4"/>
      <c r="O889" s="4"/>
      <c r="P889" s="4"/>
      <c r="Q889" s="4"/>
      <c r="R889" s="4"/>
      <c r="S889" s="4"/>
      <c r="T889" s="4"/>
      <c r="U889" s="4"/>
      <c r="V889" s="4"/>
      <c r="W889" s="4"/>
      <c r="X889" s="4"/>
      <c r="Y889" s="4"/>
      <c r="Z889" s="4"/>
      <c r="AA889" s="4"/>
      <c r="AB889" s="4"/>
    </row>
    <row r="890" spans="1:28" ht="13.5" customHeight="1">
      <c r="A890" s="4"/>
      <c r="B890" s="9"/>
      <c r="C890" s="9"/>
      <c r="D890" s="4"/>
      <c r="E890" s="4"/>
      <c r="F890" s="4"/>
      <c r="G890" s="4"/>
      <c r="H890" s="4"/>
      <c r="I890" s="4"/>
      <c r="J890" s="4"/>
      <c r="K890" s="4"/>
      <c r="L890" s="38"/>
      <c r="M890" s="4"/>
      <c r="N890" s="4"/>
      <c r="O890" s="4"/>
      <c r="P890" s="4"/>
      <c r="Q890" s="4"/>
      <c r="R890" s="4"/>
      <c r="S890" s="4"/>
      <c r="T890" s="4"/>
      <c r="U890" s="4"/>
      <c r="V890" s="4"/>
      <c r="W890" s="4"/>
      <c r="X890" s="4"/>
      <c r="Y890" s="4"/>
      <c r="Z890" s="4"/>
      <c r="AA890" s="4"/>
      <c r="AB890" s="4"/>
    </row>
    <row r="891" spans="1:28" ht="13.5" customHeight="1">
      <c r="A891" s="4"/>
      <c r="B891" s="9"/>
      <c r="C891" s="9"/>
      <c r="D891" s="4"/>
      <c r="E891" s="4"/>
      <c r="F891" s="4"/>
      <c r="G891" s="4"/>
      <c r="H891" s="4"/>
      <c r="I891" s="4"/>
      <c r="J891" s="4"/>
      <c r="K891" s="4"/>
      <c r="L891" s="38"/>
      <c r="M891" s="4"/>
      <c r="N891" s="4"/>
      <c r="O891" s="4"/>
      <c r="P891" s="4"/>
      <c r="Q891" s="4"/>
      <c r="R891" s="4"/>
      <c r="S891" s="4"/>
      <c r="T891" s="4"/>
      <c r="U891" s="4"/>
      <c r="V891" s="4"/>
      <c r="W891" s="4"/>
      <c r="X891" s="4"/>
      <c r="Y891" s="4"/>
      <c r="Z891" s="4"/>
      <c r="AA891" s="4"/>
      <c r="AB891" s="4"/>
    </row>
    <row r="892" spans="1:28" ht="13.5" customHeight="1">
      <c r="A892" s="4"/>
      <c r="B892" s="9"/>
      <c r="C892" s="9"/>
      <c r="D892" s="4"/>
      <c r="E892" s="4"/>
      <c r="F892" s="4"/>
      <c r="G892" s="4"/>
      <c r="H892" s="4"/>
      <c r="I892" s="4"/>
      <c r="J892" s="4"/>
      <c r="K892" s="4"/>
      <c r="L892" s="38"/>
      <c r="M892" s="4"/>
      <c r="N892" s="4"/>
      <c r="O892" s="4"/>
      <c r="P892" s="4"/>
      <c r="Q892" s="4"/>
      <c r="R892" s="4"/>
      <c r="S892" s="4"/>
      <c r="T892" s="4"/>
      <c r="U892" s="4"/>
      <c r="V892" s="4"/>
      <c r="W892" s="4"/>
      <c r="X892" s="4"/>
      <c r="Y892" s="4"/>
      <c r="Z892" s="4"/>
      <c r="AA892" s="4"/>
      <c r="AB892" s="4"/>
    </row>
    <row r="893" spans="1:28" ht="13.5" customHeight="1">
      <c r="A893" s="4"/>
      <c r="B893" s="9"/>
      <c r="C893" s="9"/>
      <c r="D893" s="4"/>
      <c r="E893" s="4"/>
      <c r="F893" s="4"/>
      <c r="G893" s="4"/>
      <c r="H893" s="4"/>
      <c r="I893" s="4"/>
      <c r="J893" s="4"/>
      <c r="K893" s="4"/>
      <c r="L893" s="38"/>
      <c r="M893" s="4"/>
      <c r="N893" s="4"/>
      <c r="O893" s="4"/>
      <c r="P893" s="4"/>
      <c r="Q893" s="4"/>
      <c r="R893" s="4"/>
      <c r="S893" s="4"/>
      <c r="T893" s="4"/>
      <c r="U893" s="4"/>
      <c r="V893" s="4"/>
      <c r="W893" s="4"/>
      <c r="X893" s="4"/>
      <c r="Y893" s="4"/>
      <c r="Z893" s="4"/>
      <c r="AA893" s="4"/>
      <c r="AB893" s="4"/>
    </row>
    <row r="894" spans="1:28" ht="13.5" customHeight="1">
      <c r="A894" s="4"/>
      <c r="B894" s="9"/>
      <c r="C894" s="9"/>
      <c r="D894" s="4"/>
      <c r="E894" s="4"/>
      <c r="F894" s="4"/>
      <c r="G894" s="4"/>
      <c r="H894" s="4"/>
      <c r="I894" s="4"/>
      <c r="J894" s="4"/>
      <c r="K894" s="4"/>
      <c r="L894" s="38"/>
      <c r="M894" s="4"/>
      <c r="N894" s="4"/>
      <c r="O894" s="4"/>
      <c r="P894" s="4"/>
      <c r="Q894" s="4"/>
      <c r="R894" s="4"/>
      <c r="S894" s="4"/>
      <c r="T894" s="4"/>
      <c r="U894" s="4"/>
      <c r="V894" s="4"/>
      <c r="W894" s="4"/>
      <c r="X894" s="4"/>
      <c r="Y894" s="4"/>
      <c r="Z894" s="4"/>
      <c r="AA894" s="4"/>
      <c r="AB894" s="4"/>
    </row>
    <row r="895" spans="1:28" ht="13.5" customHeight="1">
      <c r="A895" s="4"/>
      <c r="B895" s="9"/>
      <c r="C895" s="9"/>
      <c r="D895" s="4"/>
      <c r="E895" s="4"/>
      <c r="F895" s="4"/>
      <c r="G895" s="4"/>
      <c r="H895" s="4"/>
      <c r="I895" s="4"/>
      <c r="J895" s="4"/>
      <c r="K895" s="4"/>
      <c r="L895" s="38"/>
      <c r="M895" s="4"/>
      <c r="N895" s="4"/>
      <c r="O895" s="4"/>
      <c r="P895" s="4"/>
      <c r="Q895" s="4"/>
      <c r="R895" s="4"/>
      <c r="S895" s="4"/>
      <c r="T895" s="4"/>
      <c r="U895" s="4"/>
      <c r="V895" s="4"/>
      <c r="W895" s="4"/>
      <c r="X895" s="4"/>
      <c r="Y895" s="4"/>
      <c r="Z895" s="4"/>
      <c r="AA895" s="4"/>
      <c r="AB895" s="4"/>
    </row>
    <row r="896" spans="1:28" ht="13.5" customHeight="1">
      <c r="A896" s="4"/>
      <c r="B896" s="9"/>
      <c r="C896" s="9"/>
      <c r="D896" s="4"/>
      <c r="E896" s="4"/>
      <c r="F896" s="4"/>
      <c r="G896" s="4"/>
      <c r="H896" s="4"/>
      <c r="I896" s="4"/>
      <c r="J896" s="4"/>
      <c r="K896" s="4"/>
      <c r="L896" s="38"/>
      <c r="M896" s="4"/>
      <c r="N896" s="4"/>
      <c r="O896" s="4"/>
      <c r="P896" s="4"/>
      <c r="Q896" s="4"/>
      <c r="R896" s="4"/>
      <c r="S896" s="4"/>
      <c r="T896" s="4"/>
      <c r="U896" s="4"/>
      <c r="V896" s="4"/>
      <c r="W896" s="4"/>
      <c r="X896" s="4"/>
      <c r="Y896" s="4"/>
      <c r="Z896" s="4"/>
      <c r="AA896" s="4"/>
      <c r="AB896" s="4"/>
    </row>
    <row r="897" spans="1:28" ht="13.5" customHeight="1">
      <c r="A897" s="4"/>
      <c r="B897" s="9"/>
      <c r="C897" s="9"/>
      <c r="D897" s="4"/>
      <c r="E897" s="4"/>
      <c r="F897" s="4"/>
      <c r="G897" s="4"/>
      <c r="H897" s="4"/>
      <c r="I897" s="4"/>
      <c r="J897" s="4"/>
      <c r="K897" s="4"/>
      <c r="L897" s="38"/>
      <c r="M897" s="4"/>
      <c r="N897" s="4"/>
      <c r="O897" s="4"/>
      <c r="P897" s="4"/>
      <c r="Q897" s="4"/>
      <c r="R897" s="4"/>
      <c r="S897" s="4"/>
      <c r="T897" s="4"/>
      <c r="U897" s="4"/>
      <c r="V897" s="4"/>
      <c r="W897" s="4"/>
      <c r="X897" s="4"/>
      <c r="Y897" s="4"/>
      <c r="Z897" s="4"/>
      <c r="AA897" s="4"/>
      <c r="AB897" s="4"/>
    </row>
    <row r="898" spans="1:28" ht="13.5" customHeight="1">
      <c r="A898" s="4"/>
      <c r="B898" s="9"/>
      <c r="C898" s="9"/>
      <c r="D898" s="4"/>
      <c r="E898" s="4"/>
      <c r="F898" s="4"/>
      <c r="G898" s="4"/>
      <c r="H898" s="4"/>
      <c r="I898" s="4"/>
      <c r="J898" s="4"/>
      <c r="K898" s="4"/>
      <c r="L898" s="38"/>
      <c r="M898" s="4"/>
      <c r="N898" s="4"/>
      <c r="O898" s="4"/>
      <c r="P898" s="4"/>
      <c r="Q898" s="4"/>
      <c r="R898" s="4"/>
      <c r="S898" s="4"/>
      <c r="T898" s="4"/>
      <c r="U898" s="4"/>
      <c r="V898" s="4"/>
      <c r="W898" s="4"/>
      <c r="X898" s="4"/>
      <c r="Y898" s="4"/>
      <c r="Z898" s="4"/>
      <c r="AA898" s="4"/>
      <c r="AB898" s="4"/>
    </row>
    <row r="899" spans="1:28" ht="13.5" customHeight="1">
      <c r="A899" s="4"/>
      <c r="B899" s="9"/>
      <c r="C899" s="9"/>
      <c r="D899" s="4"/>
      <c r="E899" s="4"/>
      <c r="F899" s="4"/>
      <c r="G899" s="4"/>
      <c r="H899" s="4"/>
      <c r="I899" s="4"/>
      <c r="J899" s="4"/>
      <c r="K899" s="4"/>
      <c r="L899" s="38"/>
      <c r="M899" s="4"/>
      <c r="N899" s="4"/>
      <c r="O899" s="4"/>
      <c r="P899" s="4"/>
      <c r="Q899" s="4"/>
      <c r="R899" s="4"/>
      <c r="S899" s="4"/>
      <c r="T899" s="4"/>
      <c r="U899" s="4"/>
      <c r="V899" s="4"/>
      <c r="W899" s="4"/>
      <c r="X899" s="4"/>
      <c r="Y899" s="4"/>
      <c r="Z899" s="4"/>
      <c r="AA899" s="4"/>
      <c r="AB899" s="4"/>
    </row>
    <row r="900" spans="1:28" ht="13.5" customHeight="1">
      <c r="A900" s="4"/>
      <c r="B900" s="9"/>
      <c r="C900" s="9"/>
      <c r="D900" s="4"/>
      <c r="E900" s="4"/>
      <c r="F900" s="4"/>
      <c r="G900" s="4"/>
      <c r="H900" s="4"/>
      <c r="I900" s="4"/>
      <c r="J900" s="4"/>
      <c r="K900" s="4"/>
      <c r="L900" s="38"/>
      <c r="M900" s="4"/>
      <c r="N900" s="4"/>
      <c r="O900" s="4"/>
      <c r="P900" s="4"/>
      <c r="Q900" s="4"/>
      <c r="R900" s="4"/>
      <c r="S900" s="4"/>
      <c r="T900" s="4"/>
      <c r="U900" s="4"/>
      <c r="V900" s="4"/>
      <c r="W900" s="4"/>
      <c r="X900" s="4"/>
      <c r="Y900" s="4"/>
      <c r="Z900" s="4"/>
      <c r="AA900" s="4"/>
      <c r="AB900" s="4"/>
    </row>
    <row r="901" spans="1:28" ht="13.5" customHeight="1">
      <c r="A901" s="4"/>
      <c r="B901" s="9"/>
      <c r="C901" s="9"/>
      <c r="D901" s="4"/>
      <c r="E901" s="4"/>
      <c r="F901" s="4"/>
      <c r="G901" s="4"/>
      <c r="H901" s="4"/>
      <c r="I901" s="4"/>
      <c r="J901" s="4"/>
      <c r="K901" s="4"/>
      <c r="L901" s="38"/>
      <c r="M901" s="4"/>
      <c r="N901" s="4"/>
      <c r="O901" s="4"/>
      <c r="P901" s="4"/>
      <c r="Q901" s="4"/>
      <c r="R901" s="4"/>
      <c r="S901" s="4"/>
      <c r="T901" s="4"/>
      <c r="U901" s="4"/>
      <c r="V901" s="4"/>
      <c r="W901" s="4"/>
      <c r="X901" s="4"/>
      <c r="Y901" s="4"/>
      <c r="Z901" s="4"/>
      <c r="AA901" s="4"/>
      <c r="AB901" s="4"/>
    </row>
    <row r="902" spans="1:28" ht="13.5" customHeight="1">
      <c r="A902" s="4"/>
      <c r="B902" s="9"/>
      <c r="C902" s="9"/>
      <c r="D902" s="4"/>
      <c r="E902" s="4"/>
      <c r="F902" s="4"/>
      <c r="G902" s="4"/>
      <c r="H902" s="4"/>
      <c r="I902" s="4"/>
      <c r="J902" s="4"/>
      <c r="K902" s="4"/>
      <c r="L902" s="38"/>
      <c r="M902" s="4"/>
      <c r="N902" s="4"/>
      <c r="O902" s="4"/>
      <c r="P902" s="4"/>
      <c r="Q902" s="4"/>
      <c r="R902" s="4"/>
      <c r="S902" s="4"/>
      <c r="T902" s="4"/>
      <c r="U902" s="4"/>
      <c r="V902" s="4"/>
      <c r="W902" s="4"/>
      <c r="X902" s="4"/>
      <c r="Y902" s="4"/>
      <c r="Z902" s="4"/>
      <c r="AA902" s="4"/>
      <c r="AB902" s="4"/>
    </row>
    <row r="903" spans="1:28" ht="13.5" customHeight="1">
      <c r="A903" s="4"/>
      <c r="B903" s="9"/>
      <c r="C903" s="9"/>
      <c r="D903" s="4"/>
      <c r="E903" s="4"/>
      <c r="F903" s="4"/>
      <c r="G903" s="4"/>
      <c r="H903" s="4"/>
      <c r="I903" s="4"/>
      <c r="J903" s="4"/>
      <c r="K903" s="4"/>
      <c r="L903" s="38"/>
      <c r="M903" s="4"/>
      <c r="N903" s="4"/>
      <c r="O903" s="4"/>
      <c r="P903" s="4"/>
      <c r="Q903" s="4"/>
      <c r="R903" s="4"/>
      <c r="S903" s="4"/>
      <c r="T903" s="4"/>
      <c r="U903" s="4"/>
      <c r="V903" s="4"/>
      <c r="W903" s="4"/>
      <c r="X903" s="4"/>
      <c r="Y903" s="4"/>
      <c r="Z903" s="4"/>
      <c r="AA903" s="4"/>
      <c r="AB903" s="4"/>
    </row>
    <row r="904" spans="1:28" ht="13.5" customHeight="1">
      <c r="A904" s="4"/>
      <c r="B904" s="9"/>
      <c r="C904" s="9"/>
      <c r="D904" s="4"/>
      <c r="E904" s="4"/>
      <c r="F904" s="4"/>
      <c r="G904" s="4"/>
      <c r="H904" s="4"/>
      <c r="I904" s="4"/>
      <c r="J904" s="4"/>
      <c r="K904" s="4"/>
      <c r="L904" s="38"/>
      <c r="M904" s="4"/>
      <c r="N904" s="4"/>
      <c r="O904" s="4"/>
      <c r="P904" s="4"/>
      <c r="Q904" s="4"/>
      <c r="R904" s="4"/>
      <c r="S904" s="4"/>
      <c r="T904" s="4"/>
      <c r="U904" s="4"/>
      <c r="V904" s="4"/>
      <c r="W904" s="4"/>
      <c r="X904" s="4"/>
      <c r="Y904" s="4"/>
      <c r="Z904" s="4"/>
      <c r="AA904" s="4"/>
      <c r="AB904" s="4"/>
    </row>
    <row r="905" spans="1:28" ht="13.5" customHeight="1">
      <c r="A905" s="4"/>
      <c r="B905" s="9"/>
      <c r="C905" s="9"/>
      <c r="D905" s="4"/>
      <c r="E905" s="4"/>
      <c r="F905" s="4"/>
      <c r="G905" s="4"/>
      <c r="H905" s="4"/>
      <c r="I905" s="4"/>
      <c r="J905" s="4"/>
      <c r="K905" s="4"/>
      <c r="L905" s="38"/>
      <c r="M905" s="4"/>
      <c r="N905" s="4"/>
      <c r="O905" s="4"/>
      <c r="P905" s="4"/>
      <c r="Q905" s="4"/>
      <c r="R905" s="4"/>
      <c r="S905" s="4"/>
      <c r="T905" s="4"/>
      <c r="U905" s="4"/>
      <c r="V905" s="4"/>
      <c r="W905" s="4"/>
      <c r="X905" s="4"/>
      <c r="Y905" s="4"/>
      <c r="Z905" s="4"/>
      <c r="AA905" s="4"/>
      <c r="AB905" s="4"/>
    </row>
    <row r="906" spans="1:28" ht="13.5" customHeight="1">
      <c r="A906" s="4"/>
      <c r="B906" s="9"/>
      <c r="C906" s="9"/>
      <c r="D906" s="4"/>
      <c r="E906" s="4"/>
      <c r="F906" s="4"/>
      <c r="G906" s="4"/>
      <c r="H906" s="4"/>
      <c r="I906" s="4"/>
      <c r="J906" s="4"/>
      <c r="K906" s="4"/>
      <c r="L906" s="38"/>
      <c r="M906" s="4"/>
      <c r="N906" s="4"/>
      <c r="O906" s="4"/>
      <c r="P906" s="4"/>
      <c r="Q906" s="4"/>
      <c r="R906" s="4"/>
      <c r="S906" s="4"/>
      <c r="T906" s="4"/>
      <c r="U906" s="4"/>
      <c r="V906" s="4"/>
      <c r="W906" s="4"/>
      <c r="X906" s="4"/>
      <c r="Y906" s="4"/>
      <c r="Z906" s="4"/>
      <c r="AA906" s="4"/>
      <c r="AB906" s="4"/>
    </row>
    <row r="907" spans="1:28" ht="13.5" customHeight="1">
      <c r="A907" s="4"/>
      <c r="B907" s="9"/>
      <c r="C907" s="9"/>
      <c r="D907" s="4"/>
      <c r="E907" s="4"/>
      <c r="F907" s="4"/>
      <c r="G907" s="4"/>
      <c r="H907" s="4"/>
      <c r="I907" s="4"/>
      <c r="J907" s="4"/>
      <c r="K907" s="4"/>
      <c r="L907" s="38"/>
      <c r="M907" s="4"/>
      <c r="N907" s="4"/>
      <c r="O907" s="4"/>
      <c r="P907" s="4"/>
      <c r="Q907" s="4"/>
      <c r="R907" s="4"/>
      <c r="S907" s="4"/>
      <c r="T907" s="4"/>
      <c r="U907" s="4"/>
      <c r="V907" s="4"/>
      <c r="W907" s="4"/>
      <c r="X907" s="4"/>
      <c r="Y907" s="4"/>
      <c r="Z907" s="4"/>
      <c r="AA907" s="4"/>
      <c r="AB907" s="4"/>
    </row>
    <row r="908" spans="1:28" ht="13.5" customHeight="1">
      <c r="A908" s="4"/>
      <c r="B908" s="9"/>
      <c r="C908" s="9"/>
      <c r="D908" s="4"/>
      <c r="E908" s="4"/>
      <c r="F908" s="4"/>
      <c r="G908" s="4"/>
      <c r="H908" s="4"/>
      <c r="I908" s="4"/>
      <c r="J908" s="4"/>
      <c r="K908" s="4"/>
      <c r="L908" s="38"/>
      <c r="M908" s="4"/>
      <c r="N908" s="4"/>
      <c r="O908" s="4"/>
      <c r="P908" s="4"/>
      <c r="Q908" s="4"/>
      <c r="R908" s="4"/>
      <c r="S908" s="4"/>
      <c r="T908" s="4"/>
      <c r="U908" s="4"/>
      <c r="V908" s="4"/>
      <c r="W908" s="4"/>
      <c r="X908" s="4"/>
      <c r="Y908" s="4"/>
      <c r="Z908" s="4"/>
      <c r="AA908" s="4"/>
      <c r="AB908" s="4"/>
    </row>
    <row r="909" spans="1:28" ht="13.5" customHeight="1">
      <c r="A909" s="4"/>
      <c r="B909" s="9"/>
      <c r="C909" s="9"/>
      <c r="D909" s="4"/>
      <c r="E909" s="4"/>
      <c r="F909" s="4"/>
      <c r="G909" s="4"/>
      <c r="H909" s="4"/>
      <c r="I909" s="4"/>
      <c r="J909" s="4"/>
      <c r="K909" s="4"/>
      <c r="L909" s="38"/>
      <c r="M909" s="4"/>
      <c r="N909" s="4"/>
      <c r="O909" s="4"/>
      <c r="P909" s="4"/>
      <c r="Q909" s="4"/>
      <c r="R909" s="4"/>
      <c r="S909" s="4"/>
      <c r="T909" s="4"/>
      <c r="U909" s="4"/>
      <c r="V909" s="4"/>
      <c r="W909" s="4"/>
      <c r="X909" s="4"/>
      <c r="Y909" s="4"/>
      <c r="Z909" s="4"/>
      <c r="AA909" s="4"/>
      <c r="AB909" s="4"/>
    </row>
    <row r="910" spans="1:28" ht="13.5" customHeight="1">
      <c r="A910" s="4"/>
      <c r="B910" s="9"/>
      <c r="C910" s="9"/>
      <c r="D910" s="4"/>
      <c r="E910" s="4"/>
      <c r="F910" s="4"/>
      <c r="G910" s="4"/>
      <c r="H910" s="4"/>
      <c r="I910" s="4"/>
      <c r="J910" s="4"/>
      <c r="K910" s="4"/>
      <c r="L910" s="38"/>
      <c r="M910" s="4"/>
      <c r="N910" s="4"/>
      <c r="O910" s="4"/>
      <c r="P910" s="4"/>
      <c r="Q910" s="4"/>
      <c r="R910" s="4"/>
      <c r="S910" s="4"/>
      <c r="T910" s="4"/>
      <c r="U910" s="4"/>
      <c r="V910" s="4"/>
      <c r="W910" s="4"/>
      <c r="X910" s="4"/>
      <c r="Y910" s="4"/>
      <c r="Z910" s="4"/>
      <c r="AA910" s="4"/>
      <c r="AB910" s="4"/>
    </row>
    <row r="911" spans="1:28" ht="13.5" customHeight="1">
      <c r="A911" s="4"/>
      <c r="B911" s="9"/>
      <c r="C911" s="9"/>
      <c r="D911" s="4"/>
      <c r="E911" s="4"/>
      <c r="F911" s="4"/>
      <c r="G911" s="4"/>
      <c r="H911" s="4"/>
      <c r="I911" s="4"/>
      <c r="J911" s="4"/>
      <c r="K911" s="4"/>
      <c r="L911" s="38"/>
      <c r="M911" s="4"/>
      <c r="N911" s="4"/>
      <c r="O911" s="4"/>
      <c r="P911" s="4"/>
      <c r="Q911" s="4"/>
      <c r="R911" s="4"/>
      <c r="S911" s="4"/>
      <c r="T911" s="4"/>
      <c r="U911" s="4"/>
      <c r="V911" s="4"/>
      <c r="W911" s="4"/>
      <c r="X911" s="4"/>
      <c r="Y911" s="4"/>
      <c r="Z911" s="4"/>
      <c r="AA911" s="4"/>
      <c r="AB911" s="4"/>
    </row>
    <row r="912" spans="1:28" ht="13.5" customHeight="1">
      <c r="A912" s="4"/>
      <c r="B912" s="9"/>
      <c r="C912" s="9"/>
      <c r="D912" s="4"/>
      <c r="E912" s="4"/>
      <c r="F912" s="4"/>
      <c r="G912" s="4"/>
      <c r="H912" s="4"/>
      <c r="I912" s="4"/>
      <c r="J912" s="4"/>
      <c r="K912" s="4"/>
      <c r="L912" s="38"/>
      <c r="M912" s="4"/>
      <c r="N912" s="4"/>
      <c r="O912" s="4"/>
      <c r="P912" s="4"/>
      <c r="Q912" s="4"/>
      <c r="R912" s="4"/>
      <c r="S912" s="4"/>
      <c r="T912" s="4"/>
      <c r="U912" s="4"/>
      <c r="V912" s="4"/>
      <c r="W912" s="4"/>
      <c r="X912" s="4"/>
      <c r="Y912" s="4"/>
      <c r="Z912" s="4"/>
      <c r="AA912" s="4"/>
      <c r="AB912" s="4"/>
    </row>
    <row r="913" spans="1:28" ht="13.5" customHeight="1">
      <c r="A913" s="4"/>
      <c r="B913" s="9"/>
      <c r="C913" s="9"/>
      <c r="D913" s="4"/>
      <c r="E913" s="4"/>
      <c r="F913" s="4"/>
      <c r="G913" s="4"/>
      <c r="H913" s="4"/>
      <c r="I913" s="4"/>
      <c r="J913" s="4"/>
      <c r="K913" s="4"/>
      <c r="L913" s="38"/>
      <c r="M913" s="4"/>
      <c r="N913" s="4"/>
      <c r="O913" s="4"/>
      <c r="P913" s="4"/>
      <c r="Q913" s="4"/>
      <c r="R913" s="4"/>
      <c r="S913" s="4"/>
      <c r="T913" s="4"/>
      <c r="U913" s="4"/>
      <c r="V913" s="4"/>
      <c r="W913" s="4"/>
      <c r="X913" s="4"/>
      <c r="Y913" s="4"/>
      <c r="Z913" s="4"/>
      <c r="AA913" s="4"/>
      <c r="AB913" s="4"/>
    </row>
    <row r="914" spans="1:28" ht="13.5" customHeight="1">
      <c r="A914" s="4"/>
      <c r="B914" s="9"/>
      <c r="C914" s="9"/>
      <c r="D914" s="4"/>
      <c r="E914" s="4"/>
      <c r="F914" s="4"/>
      <c r="G914" s="4"/>
      <c r="H914" s="4"/>
      <c r="I914" s="4"/>
      <c r="J914" s="4"/>
      <c r="K914" s="4"/>
      <c r="L914" s="38"/>
      <c r="M914" s="4"/>
      <c r="N914" s="4"/>
      <c r="O914" s="4"/>
      <c r="P914" s="4"/>
      <c r="Q914" s="4"/>
      <c r="R914" s="4"/>
      <c r="S914" s="4"/>
      <c r="T914" s="4"/>
      <c r="U914" s="4"/>
      <c r="V914" s="4"/>
      <c r="W914" s="4"/>
      <c r="X914" s="4"/>
      <c r="Y914" s="4"/>
      <c r="Z914" s="4"/>
      <c r="AA914" s="4"/>
      <c r="AB914" s="4"/>
    </row>
    <row r="915" spans="1:28" ht="13.5" customHeight="1">
      <c r="A915" s="4"/>
      <c r="B915" s="9"/>
      <c r="C915" s="9"/>
      <c r="D915" s="4"/>
      <c r="E915" s="4"/>
      <c r="F915" s="4"/>
      <c r="G915" s="4"/>
      <c r="H915" s="4"/>
      <c r="I915" s="4"/>
      <c r="J915" s="4"/>
      <c r="K915" s="4"/>
      <c r="L915" s="38"/>
      <c r="M915" s="4"/>
      <c r="N915" s="4"/>
      <c r="O915" s="4"/>
      <c r="P915" s="4"/>
      <c r="Q915" s="4"/>
      <c r="R915" s="4"/>
      <c r="S915" s="4"/>
      <c r="T915" s="4"/>
      <c r="U915" s="4"/>
      <c r="V915" s="4"/>
      <c r="W915" s="4"/>
      <c r="X915" s="4"/>
      <c r="Y915" s="4"/>
      <c r="Z915" s="4"/>
      <c r="AA915" s="4"/>
      <c r="AB915" s="4"/>
    </row>
    <row r="916" spans="1:28" ht="13.5" customHeight="1">
      <c r="A916" s="4"/>
      <c r="B916" s="9"/>
      <c r="C916" s="9"/>
      <c r="D916" s="4"/>
      <c r="E916" s="4"/>
      <c r="F916" s="4"/>
      <c r="G916" s="4"/>
      <c r="H916" s="4"/>
      <c r="I916" s="4"/>
      <c r="J916" s="4"/>
      <c r="K916" s="4"/>
      <c r="L916" s="38"/>
      <c r="M916" s="4"/>
      <c r="N916" s="4"/>
      <c r="O916" s="4"/>
      <c r="P916" s="4"/>
      <c r="Q916" s="4"/>
      <c r="R916" s="4"/>
      <c r="S916" s="4"/>
      <c r="T916" s="4"/>
      <c r="U916" s="4"/>
      <c r="V916" s="4"/>
      <c r="W916" s="4"/>
      <c r="X916" s="4"/>
      <c r="Y916" s="4"/>
      <c r="Z916" s="4"/>
      <c r="AA916" s="4"/>
      <c r="AB916" s="4"/>
    </row>
    <row r="917" spans="1:28" ht="13.5" customHeight="1">
      <c r="A917" s="4"/>
      <c r="B917" s="9"/>
      <c r="C917" s="9"/>
      <c r="D917" s="4"/>
      <c r="E917" s="4"/>
      <c r="F917" s="4"/>
      <c r="G917" s="4"/>
      <c r="H917" s="4"/>
      <c r="I917" s="4"/>
      <c r="J917" s="4"/>
      <c r="K917" s="4"/>
      <c r="L917" s="38"/>
      <c r="M917" s="4"/>
      <c r="N917" s="4"/>
      <c r="O917" s="4"/>
      <c r="P917" s="4"/>
      <c r="Q917" s="4"/>
      <c r="R917" s="4"/>
      <c r="S917" s="4"/>
      <c r="T917" s="4"/>
      <c r="U917" s="4"/>
      <c r="V917" s="4"/>
      <c r="W917" s="4"/>
      <c r="X917" s="4"/>
      <c r="Y917" s="4"/>
      <c r="Z917" s="4"/>
      <c r="AA917" s="4"/>
      <c r="AB917" s="4"/>
    </row>
    <row r="918" spans="1:28" ht="13.5" customHeight="1">
      <c r="A918" s="4"/>
      <c r="B918" s="9"/>
      <c r="C918" s="9"/>
      <c r="D918" s="4"/>
      <c r="E918" s="4"/>
      <c r="F918" s="4"/>
      <c r="G918" s="4"/>
      <c r="H918" s="4"/>
      <c r="I918" s="4"/>
      <c r="J918" s="4"/>
      <c r="K918" s="4"/>
      <c r="L918" s="38"/>
      <c r="M918" s="4"/>
      <c r="N918" s="4"/>
      <c r="O918" s="4"/>
      <c r="P918" s="4"/>
      <c r="Q918" s="4"/>
      <c r="R918" s="4"/>
      <c r="S918" s="4"/>
      <c r="T918" s="4"/>
      <c r="U918" s="4"/>
      <c r="V918" s="4"/>
      <c r="W918" s="4"/>
      <c r="X918" s="4"/>
      <c r="Y918" s="4"/>
      <c r="Z918" s="4"/>
      <c r="AA918" s="4"/>
      <c r="AB918" s="4"/>
    </row>
    <row r="919" spans="1:28" ht="13.5" customHeight="1">
      <c r="A919" s="4"/>
      <c r="B919" s="9"/>
      <c r="C919" s="9"/>
      <c r="D919" s="4"/>
      <c r="E919" s="4"/>
      <c r="F919" s="4"/>
      <c r="G919" s="4"/>
      <c r="H919" s="4"/>
      <c r="I919" s="4"/>
      <c r="J919" s="4"/>
      <c r="K919" s="4"/>
      <c r="L919" s="38"/>
      <c r="M919" s="4"/>
      <c r="N919" s="4"/>
      <c r="O919" s="4"/>
      <c r="P919" s="4"/>
      <c r="Q919" s="4"/>
      <c r="R919" s="4"/>
      <c r="S919" s="4"/>
      <c r="T919" s="4"/>
      <c r="U919" s="4"/>
      <c r="V919" s="4"/>
      <c r="W919" s="4"/>
      <c r="X919" s="4"/>
      <c r="Y919" s="4"/>
      <c r="Z919" s="4"/>
      <c r="AA919" s="4"/>
      <c r="AB919" s="4"/>
    </row>
    <row r="920" spans="1:28" ht="13.5" customHeight="1">
      <c r="A920" s="4"/>
      <c r="B920" s="9"/>
      <c r="C920" s="9"/>
      <c r="D920" s="4"/>
      <c r="E920" s="4"/>
      <c r="F920" s="4"/>
      <c r="G920" s="4"/>
      <c r="H920" s="4"/>
      <c r="I920" s="4"/>
      <c r="J920" s="4"/>
      <c r="K920" s="4"/>
      <c r="L920" s="38"/>
      <c r="M920" s="4"/>
      <c r="N920" s="4"/>
      <c r="O920" s="4"/>
      <c r="P920" s="4"/>
      <c r="Q920" s="4"/>
      <c r="R920" s="4"/>
      <c r="S920" s="4"/>
      <c r="T920" s="4"/>
      <c r="U920" s="4"/>
      <c r="V920" s="4"/>
      <c r="W920" s="4"/>
      <c r="X920" s="4"/>
      <c r="Y920" s="4"/>
      <c r="Z920" s="4"/>
      <c r="AA920" s="4"/>
      <c r="AB920" s="4"/>
    </row>
    <row r="921" spans="1:28" ht="13.5" customHeight="1">
      <c r="A921" s="4"/>
      <c r="B921" s="9"/>
      <c r="C921" s="9"/>
      <c r="D921" s="4"/>
      <c r="E921" s="4"/>
      <c r="F921" s="4"/>
      <c r="G921" s="4"/>
      <c r="H921" s="4"/>
      <c r="I921" s="4"/>
      <c r="J921" s="4"/>
      <c r="K921" s="4"/>
      <c r="L921" s="38"/>
      <c r="M921" s="4"/>
      <c r="N921" s="4"/>
      <c r="O921" s="4"/>
      <c r="P921" s="4"/>
      <c r="Q921" s="4"/>
      <c r="R921" s="4"/>
      <c r="S921" s="4"/>
      <c r="T921" s="4"/>
      <c r="U921" s="4"/>
      <c r="V921" s="4"/>
      <c r="W921" s="4"/>
      <c r="X921" s="4"/>
      <c r="Y921" s="4"/>
      <c r="Z921" s="4"/>
      <c r="AA921" s="4"/>
      <c r="AB921" s="4"/>
    </row>
    <row r="922" spans="1:28" ht="13.5" customHeight="1">
      <c r="A922" s="4"/>
      <c r="B922" s="9"/>
      <c r="C922" s="9"/>
      <c r="D922" s="4"/>
      <c r="E922" s="4"/>
      <c r="F922" s="4"/>
      <c r="G922" s="4"/>
      <c r="H922" s="4"/>
      <c r="I922" s="4"/>
      <c r="J922" s="4"/>
      <c r="K922" s="4"/>
      <c r="L922" s="38"/>
      <c r="M922" s="4"/>
      <c r="N922" s="4"/>
      <c r="O922" s="4"/>
      <c r="P922" s="4"/>
      <c r="Q922" s="4"/>
      <c r="R922" s="4"/>
      <c r="S922" s="4"/>
      <c r="T922" s="4"/>
      <c r="U922" s="4"/>
      <c r="V922" s="4"/>
      <c r="W922" s="4"/>
      <c r="X922" s="4"/>
      <c r="Y922" s="4"/>
      <c r="Z922" s="4"/>
      <c r="AA922" s="4"/>
      <c r="AB922" s="4"/>
    </row>
    <row r="923" spans="1:28" ht="13.5" customHeight="1">
      <c r="A923" s="4"/>
      <c r="B923" s="9"/>
      <c r="C923" s="9"/>
      <c r="D923" s="4"/>
      <c r="E923" s="4"/>
      <c r="F923" s="4"/>
      <c r="G923" s="4"/>
      <c r="H923" s="4"/>
      <c r="I923" s="4"/>
      <c r="J923" s="4"/>
      <c r="K923" s="4"/>
      <c r="L923" s="38"/>
      <c r="M923" s="4"/>
      <c r="N923" s="4"/>
      <c r="O923" s="4"/>
      <c r="P923" s="4"/>
      <c r="Q923" s="4"/>
      <c r="R923" s="4"/>
      <c r="S923" s="4"/>
      <c r="T923" s="4"/>
      <c r="U923" s="4"/>
      <c r="V923" s="4"/>
      <c r="W923" s="4"/>
      <c r="X923" s="4"/>
      <c r="Y923" s="4"/>
      <c r="Z923" s="4"/>
      <c r="AA923" s="4"/>
      <c r="AB923" s="4"/>
    </row>
    <row r="924" spans="1:28" ht="13.5" customHeight="1">
      <c r="A924" s="4"/>
      <c r="B924" s="9"/>
      <c r="C924" s="9"/>
      <c r="D924" s="4"/>
      <c r="E924" s="4"/>
      <c r="F924" s="4"/>
      <c r="G924" s="4"/>
      <c r="H924" s="4"/>
      <c r="I924" s="4"/>
      <c r="J924" s="4"/>
      <c r="K924" s="4"/>
      <c r="L924" s="38"/>
      <c r="M924" s="4"/>
      <c r="N924" s="4"/>
      <c r="O924" s="4"/>
      <c r="P924" s="4"/>
      <c r="Q924" s="4"/>
      <c r="R924" s="4"/>
      <c r="S924" s="4"/>
      <c r="T924" s="4"/>
      <c r="U924" s="4"/>
      <c r="V924" s="4"/>
      <c r="W924" s="4"/>
      <c r="X924" s="4"/>
      <c r="Y924" s="4"/>
      <c r="Z924" s="4"/>
      <c r="AA924" s="4"/>
      <c r="AB924" s="4"/>
    </row>
    <row r="925" spans="1:28" ht="13.5" customHeight="1">
      <c r="A925" s="4"/>
      <c r="B925" s="9"/>
      <c r="C925" s="9"/>
      <c r="D925" s="4"/>
      <c r="E925" s="4"/>
      <c r="F925" s="4"/>
      <c r="G925" s="4"/>
      <c r="H925" s="4"/>
      <c r="I925" s="4"/>
      <c r="J925" s="4"/>
      <c r="K925" s="4"/>
      <c r="L925" s="38"/>
      <c r="M925" s="4"/>
      <c r="N925" s="4"/>
      <c r="O925" s="4"/>
      <c r="P925" s="4"/>
      <c r="Q925" s="4"/>
      <c r="R925" s="4"/>
      <c r="S925" s="4"/>
      <c r="T925" s="4"/>
      <c r="U925" s="4"/>
      <c r="V925" s="4"/>
      <c r="W925" s="4"/>
      <c r="X925" s="4"/>
      <c r="Y925" s="4"/>
      <c r="Z925" s="4"/>
      <c r="AA925" s="4"/>
      <c r="AB925" s="4"/>
    </row>
    <row r="926" spans="1:28" ht="13.5" customHeight="1">
      <c r="A926" s="4"/>
      <c r="B926" s="9"/>
      <c r="C926" s="9"/>
      <c r="D926" s="4"/>
      <c r="E926" s="4"/>
      <c r="F926" s="4"/>
      <c r="G926" s="4"/>
      <c r="H926" s="4"/>
      <c r="I926" s="4"/>
      <c r="J926" s="4"/>
      <c r="K926" s="4"/>
      <c r="L926" s="38"/>
      <c r="M926" s="4"/>
      <c r="N926" s="4"/>
      <c r="O926" s="4"/>
      <c r="P926" s="4"/>
      <c r="Q926" s="4"/>
      <c r="R926" s="4"/>
      <c r="S926" s="4"/>
      <c r="T926" s="4"/>
      <c r="U926" s="4"/>
      <c r="V926" s="4"/>
      <c r="W926" s="4"/>
      <c r="X926" s="4"/>
      <c r="Y926" s="4"/>
      <c r="Z926" s="4"/>
      <c r="AA926" s="4"/>
      <c r="AB926" s="4"/>
    </row>
    <row r="927" spans="1:28" ht="13.5" customHeight="1">
      <c r="A927" s="4"/>
      <c r="B927" s="9"/>
      <c r="C927" s="9"/>
      <c r="D927" s="4"/>
      <c r="E927" s="4"/>
      <c r="F927" s="4"/>
      <c r="G927" s="4"/>
      <c r="H927" s="4"/>
      <c r="I927" s="4"/>
      <c r="J927" s="4"/>
      <c r="K927" s="4"/>
      <c r="L927" s="38"/>
      <c r="M927" s="4"/>
      <c r="N927" s="4"/>
      <c r="O927" s="4"/>
      <c r="P927" s="4"/>
      <c r="Q927" s="4"/>
      <c r="R927" s="4"/>
      <c r="S927" s="4"/>
      <c r="T927" s="4"/>
      <c r="U927" s="4"/>
      <c r="V927" s="4"/>
      <c r="W927" s="4"/>
      <c r="X927" s="4"/>
      <c r="Y927" s="4"/>
      <c r="Z927" s="4"/>
      <c r="AA927" s="4"/>
      <c r="AB927" s="4"/>
    </row>
    <row r="928" spans="1:28" ht="13.5" customHeight="1">
      <c r="A928" s="4"/>
      <c r="B928" s="9"/>
      <c r="C928" s="9"/>
      <c r="D928" s="4"/>
      <c r="E928" s="4"/>
      <c r="F928" s="4"/>
      <c r="G928" s="4"/>
      <c r="H928" s="4"/>
      <c r="I928" s="4"/>
      <c r="J928" s="4"/>
      <c r="K928" s="4"/>
      <c r="L928" s="38"/>
      <c r="M928" s="4"/>
      <c r="N928" s="4"/>
      <c r="O928" s="4"/>
      <c r="P928" s="4"/>
      <c r="Q928" s="4"/>
      <c r="R928" s="4"/>
      <c r="S928" s="4"/>
      <c r="T928" s="4"/>
      <c r="U928" s="4"/>
      <c r="V928" s="4"/>
      <c r="W928" s="4"/>
      <c r="X928" s="4"/>
      <c r="Y928" s="4"/>
      <c r="Z928" s="4"/>
      <c r="AA928" s="4"/>
      <c r="AB928" s="4"/>
    </row>
    <row r="929" spans="1:28" ht="13.5" customHeight="1">
      <c r="A929" s="4"/>
      <c r="B929" s="9"/>
      <c r="C929" s="9"/>
      <c r="D929" s="4"/>
      <c r="E929" s="4"/>
      <c r="F929" s="4"/>
      <c r="G929" s="4"/>
      <c r="H929" s="4"/>
      <c r="I929" s="4"/>
      <c r="J929" s="4"/>
      <c r="K929" s="4"/>
      <c r="L929" s="38"/>
      <c r="M929" s="4"/>
      <c r="N929" s="4"/>
      <c r="O929" s="4"/>
      <c r="P929" s="4"/>
      <c r="Q929" s="4"/>
      <c r="R929" s="4"/>
      <c r="S929" s="4"/>
      <c r="T929" s="4"/>
      <c r="U929" s="4"/>
      <c r="V929" s="4"/>
      <c r="W929" s="4"/>
      <c r="X929" s="4"/>
      <c r="Y929" s="4"/>
      <c r="Z929" s="4"/>
      <c r="AA929" s="4"/>
      <c r="AB929" s="4"/>
    </row>
    <row r="930" spans="1:28" ht="13.5" customHeight="1">
      <c r="A930" s="4"/>
      <c r="B930" s="9"/>
      <c r="C930" s="9"/>
      <c r="D930" s="4"/>
      <c r="E930" s="4"/>
      <c r="F930" s="4"/>
      <c r="G930" s="4"/>
      <c r="H930" s="4"/>
      <c r="I930" s="4"/>
      <c r="J930" s="4"/>
      <c r="K930" s="4"/>
      <c r="L930" s="38"/>
      <c r="M930" s="4"/>
      <c r="N930" s="4"/>
      <c r="O930" s="4"/>
      <c r="P930" s="4"/>
      <c r="Q930" s="4"/>
      <c r="R930" s="4"/>
      <c r="S930" s="4"/>
      <c r="T930" s="4"/>
      <c r="U930" s="4"/>
      <c r="V930" s="4"/>
      <c r="W930" s="4"/>
      <c r="X930" s="4"/>
      <c r="Y930" s="4"/>
      <c r="Z930" s="4"/>
      <c r="AA930" s="4"/>
      <c r="AB930" s="4"/>
    </row>
    <row r="931" spans="1:28" ht="13.5" customHeight="1">
      <c r="A931" s="4"/>
      <c r="B931" s="9"/>
      <c r="C931" s="9"/>
      <c r="D931" s="4"/>
      <c r="E931" s="4"/>
      <c r="F931" s="4"/>
      <c r="G931" s="4"/>
      <c r="H931" s="4"/>
      <c r="I931" s="4"/>
      <c r="J931" s="4"/>
      <c r="K931" s="4"/>
      <c r="L931" s="38"/>
      <c r="M931" s="4"/>
      <c r="N931" s="4"/>
      <c r="O931" s="4"/>
      <c r="P931" s="4"/>
      <c r="Q931" s="4"/>
      <c r="R931" s="4"/>
      <c r="S931" s="4"/>
      <c r="T931" s="4"/>
      <c r="U931" s="4"/>
      <c r="V931" s="4"/>
      <c r="W931" s="4"/>
      <c r="X931" s="4"/>
      <c r="Y931" s="4"/>
      <c r="Z931" s="4"/>
      <c r="AA931" s="4"/>
      <c r="AB931" s="4"/>
    </row>
    <row r="932" spans="1:28" ht="13.5" customHeight="1">
      <c r="A932" s="4"/>
      <c r="B932" s="9"/>
      <c r="C932" s="9"/>
      <c r="D932" s="4"/>
      <c r="E932" s="4"/>
      <c r="F932" s="4"/>
      <c r="G932" s="4"/>
      <c r="H932" s="4"/>
      <c r="I932" s="4"/>
      <c r="J932" s="4"/>
      <c r="K932" s="4"/>
      <c r="L932" s="38"/>
      <c r="M932" s="4"/>
      <c r="N932" s="4"/>
      <c r="O932" s="4"/>
      <c r="P932" s="4"/>
      <c r="Q932" s="4"/>
      <c r="R932" s="4"/>
      <c r="S932" s="4"/>
      <c r="T932" s="4"/>
      <c r="U932" s="4"/>
      <c r="V932" s="4"/>
      <c r="W932" s="4"/>
      <c r="X932" s="4"/>
      <c r="Y932" s="4"/>
      <c r="Z932" s="4"/>
      <c r="AA932" s="4"/>
      <c r="AB932" s="4"/>
    </row>
    <row r="933" spans="1:28" ht="13.5" customHeight="1">
      <c r="A933" s="4"/>
      <c r="B933" s="9"/>
      <c r="C933" s="9"/>
      <c r="D933" s="4"/>
      <c r="E933" s="4"/>
      <c r="F933" s="4"/>
      <c r="G933" s="4"/>
      <c r="H933" s="4"/>
      <c r="I933" s="4"/>
      <c r="J933" s="4"/>
      <c r="K933" s="4"/>
      <c r="L933" s="38"/>
      <c r="M933" s="4"/>
      <c r="N933" s="4"/>
      <c r="O933" s="4"/>
      <c r="P933" s="4"/>
      <c r="Q933" s="4"/>
      <c r="R933" s="4"/>
      <c r="S933" s="4"/>
      <c r="T933" s="4"/>
      <c r="U933" s="4"/>
      <c r="V933" s="4"/>
      <c r="W933" s="4"/>
      <c r="X933" s="4"/>
      <c r="Y933" s="4"/>
      <c r="Z933" s="4"/>
      <c r="AA933" s="4"/>
      <c r="AB933" s="4"/>
    </row>
    <row r="934" spans="1:28" ht="13.5" customHeight="1">
      <c r="A934" s="4"/>
      <c r="B934" s="9"/>
      <c r="C934" s="9"/>
      <c r="D934" s="4"/>
      <c r="E934" s="4"/>
      <c r="F934" s="4"/>
      <c r="G934" s="4"/>
      <c r="H934" s="4"/>
      <c r="I934" s="4"/>
      <c r="J934" s="4"/>
      <c r="K934" s="4"/>
      <c r="L934" s="38"/>
      <c r="M934" s="4"/>
      <c r="N934" s="4"/>
      <c r="O934" s="4"/>
      <c r="P934" s="4"/>
      <c r="Q934" s="4"/>
      <c r="R934" s="4"/>
      <c r="S934" s="4"/>
      <c r="T934" s="4"/>
      <c r="U934" s="4"/>
      <c r="V934" s="4"/>
      <c r="W934" s="4"/>
      <c r="X934" s="4"/>
      <c r="Y934" s="4"/>
      <c r="Z934" s="4"/>
      <c r="AA934" s="4"/>
      <c r="AB934" s="4"/>
    </row>
    <row r="935" spans="1:28" ht="13.5" customHeight="1">
      <c r="A935" s="4"/>
      <c r="B935" s="9"/>
      <c r="C935" s="9"/>
      <c r="D935" s="4"/>
      <c r="E935" s="4"/>
      <c r="F935" s="4"/>
      <c r="G935" s="4"/>
      <c r="H935" s="4"/>
      <c r="I935" s="4"/>
      <c r="J935" s="4"/>
      <c r="K935" s="4"/>
      <c r="L935" s="38"/>
      <c r="M935" s="4"/>
      <c r="N935" s="4"/>
      <c r="O935" s="4"/>
      <c r="P935" s="4"/>
      <c r="Q935" s="4"/>
      <c r="R935" s="4"/>
      <c r="S935" s="4"/>
      <c r="T935" s="4"/>
      <c r="U935" s="4"/>
      <c r="V935" s="4"/>
      <c r="W935" s="4"/>
      <c r="X935" s="4"/>
      <c r="Y935" s="4"/>
      <c r="Z935" s="4"/>
      <c r="AA935" s="4"/>
      <c r="AB935" s="4"/>
    </row>
    <row r="936" spans="1:28" ht="13.5" customHeight="1">
      <c r="A936" s="4"/>
      <c r="B936" s="9"/>
      <c r="C936" s="9"/>
      <c r="D936" s="4"/>
      <c r="E936" s="4"/>
      <c r="F936" s="4"/>
      <c r="G936" s="4"/>
      <c r="H936" s="4"/>
      <c r="I936" s="4"/>
      <c r="J936" s="4"/>
      <c r="K936" s="4"/>
      <c r="L936" s="38"/>
      <c r="M936" s="4"/>
      <c r="N936" s="4"/>
      <c r="O936" s="4"/>
      <c r="P936" s="4"/>
      <c r="Q936" s="4"/>
      <c r="R936" s="4"/>
      <c r="S936" s="4"/>
      <c r="T936" s="4"/>
      <c r="U936" s="4"/>
      <c r="V936" s="4"/>
      <c r="W936" s="4"/>
      <c r="X936" s="4"/>
      <c r="Y936" s="4"/>
      <c r="Z936" s="4"/>
      <c r="AA936" s="4"/>
      <c r="AB936" s="4"/>
    </row>
    <row r="937" spans="1:28" ht="13.5" customHeight="1">
      <c r="A937" s="4"/>
      <c r="B937" s="9"/>
      <c r="C937" s="9"/>
      <c r="D937" s="4"/>
      <c r="E937" s="4"/>
      <c r="F937" s="4"/>
      <c r="G937" s="4"/>
      <c r="H937" s="4"/>
      <c r="I937" s="4"/>
      <c r="J937" s="4"/>
      <c r="K937" s="4"/>
      <c r="L937" s="38"/>
      <c r="M937" s="4"/>
      <c r="N937" s="4"/>
      <c r="O937" s="4"/>
      <c r="P937" s="4"/>
      <c r="Q937" s="4"/>
      <c r="R937" s="4"/>
      <c r="S937" s="4"/>
      <c r="T937" s="4"/>
      <c r="U937" s="4"/>
      <c r="V937" s="4"/>
      <c r="W937" s="4"/>
      <c r="X937" s="4"/>
      <c r="Y937" s="4"/>
      <c r="Z937" s="4"/>
      <c r="AA937" s="4"/>
      <c r="AB937" s="4"/>
    </row>
    <row r="938" spans="1:28" ht="13.5" customHeight="1">
      <c r="A938" s="4"/>
      <c r="B938" s="9"/>
      <c r="C938" s="9"/>
      <c r="D938" s="4"/>
      <c r="E938" s="4"/>
      <c r="F938" s="4"/>
      <c r="G938" s="4"/>
      <c r="H938" s="4"/>
      <c r="I938" s="4"/>
      <c r="J938" s="4"/>
      <c r="K938" s="4"/>
      <c r="L938" s="38"/>
      <c r="M938" s="4"/>
      <c r="N938" s="4"/>
      <c r="O938" s="4"/>
      <c r="P938" s="4"/>
      <c r="Q938" s="4"/>
      <c r="R938" s="4"/>
      <c r="S938" s="4"/>
      <c r="T938" s="4"/>
      <c r="U938" s="4"/>
      <c r="V938" s="4"/>
      <c r="W938" s="4"/>
      <c r="X938" s="4"/>
      <c r="Y938" s="4"/>
      <c r="Z938" s="4"/>
      <c r="AA938" s="4"/>
      <c r="AB938" s="4"/>
    </row>
    <row r="939" spans="1:28" ht="13.5" customHeight="1">
      <c r="A939" s="4"/>
      <c r="B939" s="9"/>
      <c r="C939" s="9"/>
      <c r="D939" s="4"/>
      <c r="E939" s="4"/>
      <c r="F939" s="4"/>
      <c r="G939" s="4"/>
      <c r="H939" s="4"/>
      <c r="I939" s="4"/>
      <c r="J939" s="4"/>
      <c r="K939" s="4"/>
      <c r="L939" s="38"/>
      <c r="M939" s="4"/>
      <c r="N939" s="4"/>
      <c r="O939" s="4"/>
      <c r="P939" s="4"/>
      <c r="Q939" s="4"/>
      <c r="R939" s="4"/>
      <c r="S939" s="4"/>
      <c r="T939" s="4"/>
      <c r="U939" s="4"/>
      <c r="V939" s="4"/>
      <c r="W939" s="4"/>
      <c r="X939" s="4"/>
      <c r="Y939" s="4"/>
      <c r="Z939" s="4"/>
      <c r="AA939" s="4"/>
      <c r="AB939" s="4"/>
    </row>
    <row r="940" spans="1:28" ht="13.5" customHeight="1">
      <c r="A940" s="4"/>
      <c r="B940" s="9"/>
      <c r="C940" s="9"/>
      <c r="D940" s="4"/>
      <c r="E940" s="4"/>
      <c r="F940" s="4"/>
      <c r="G940" s="4"/>
      <c r="H940" s="4"/>
      <c r="I940" s="4"/>
      <c r="J940" s="4"/>
      <c r="K940" s="4"/>
      <c r="L940" s="38"/>
      <c r="M940" s="4"/>
      <c r="N940" s="4"/>
      <c r="O940" s="4"/>
      <c r="P940" s="4"/>
      <c r="Q940" s="4"/>
      <c r="R940" s="4"/>
      <c r="S940" s="4"/>
      <c r="T940" s="4"/>
      <c r="U940" s="4"/>
      <c r="V940" s="4"/>
      <c r="W940" s="4"/>
      <c r="X940" s="4"/>
      <c r="Y940" s="4"/>
      <c r="Z940" s="4"/>
      <c r="AA940" s="4"/>
      <c r="AB940" s="4"/>
    </row>
    <row r="941" spans="1:28" ht="13.5" customHeight="1">
      <c r="A941" s="4"/>
      <c r="B941" s="9"/>
      <c r="C941" s="9"/>
      <c r="D941" s="4"/>
      <c r="E941" s="4"/>
      <c r="F941" s="4"/>
      <c r="G941" s="4"/>
      <c r="H941" s="4"/>
      <c r="I941" s="4"/>
      <c r="J941" s="4"/>
      <c r="K941" s="4"/>
      <c r="L941" s="38"/>
      <c r="M941" s="4"/>
      <c r="N941" s="4"/>
      <c r="O941" s="4"/>
      <c r="P941" s="4"/>
      <c r="Q941" s="4"/>
      <c r="R941" s="4"/>
      <c r="S941" s="4"/>
      <c r="T941" s="4"/>
      <c r="U941" s="4"/>
      <c r="V941" s="4"/>
      <c r="W941" s="4"/>
      <c r="X941" s="4"/>
      <c r="Y941" s="4"/>
      <c r="Z941" s="4"/>
      <c r="AA941" s="4"/>
      <c r="AB941" s="4"/>
    </row>
    <row r="942" spans="1:28" ht="13.5" customHeight="1">
      <c r="A942" s="4"/>
      <c r="B942" s="9"/>
      <c r="C942" s="9"/>
      <c r="D942" s="4"/>
      <c r="E942" s="4"/>
      <c r="F942" s="4"/>
      <c r="G942" s="4"/>
      <c r="H942" s="4"/>
      <c r="I942" s="4"/>
      <c r="J942" s="4"/>
      <c r="K942" s="4"/>
      <c r="L942" s="38"/>
      <c r="M942" s="4"/>
      <c r="N942" s="4"/>
      <c r="O942" s="4"/>
      <c r="P942" s="4"/>
      <c r="Q942" s="4"/>
      <c r="R942" s="4"/>
      <c r="S942" s="4"/>
      <c r="T942" s="4"/>
      <c r="U942" s="4"/>
      <c r="V942" s="4"/>
      <c r="W942" s="4"/>
      <c r="X942" s="4"/>
      <c r="Y942" s="4"/>
      <c r="Z942" s="4"/>
      <c r="AA942" s="4"/>
      <c r="AB942" s="4"/>
    </row>
    <row r="943" spans="1:28" ht="13.5" customHeight="1">
      <c r="A943" s="4"/>
      <c r="B943" s="9"/>
      <c r="C943" s="9"/>
      <c r="D943" s="4"/>
      <c r="E943" s="4"/>
      <c r="F943" s="4"/>
      <c r="G943" s="4"/>
      <c r="H943" s="4"/>
      <c r="I943" s="4"/>
      <c r="J943" s="4"/>
      <c r="K943" s="4"/>
      <c r="L943" s="38"/>
      <c r="M943" s="4"/>
      <c r="N943" s="4"/>
      <c r="O943" s="4"/>
      <c r="P943" s="4"/>
      <c r="Q943" s="4"/>
      <c r="R943" s="4"/>
      <c r="S943" s="4"/>
      <c r="T943" s="4"/>
      <c r="U943" s="4"/>
      <c r="V943" s="4"/>
      <c r="W943" s="4"/>
      <c r="X943" s="4"/>
      <c r="Y943" s="4"/>
      <c r="Z943" s="4"/>
      <c r="AA943" s="4"/>
      <c r="AB943" s="4"/>
    </row>
    <row r="944" spans="1:28" ht="13.5" customHeight="1">
      <c r="A944" s="4"/>
      <c r="B944" s="9"/>
      <c r="C944" s="9"/>
      <c r="D944" s="4"/>
      <c r="E944" s="4"/>
      <c r="F944" s="4"/>
      <c r="G944" s="4"/>
      <c r="H944" s="4"/>
      <c r="I944" s="4"/>
      <c r="J944" s="4"/>
      <c r="K944" s="4"/>
      <c r="L944" s="38"/>
      <c r="M944" s="4"/>
      <c r="N944" s="4"/>
      <c r="O944" s="4"/>
      <c r="P944" s="4"/>
      <c r="Q944" s="4"/>
      <c r="R944" s="4"/>
      <c r="S944" s="4"/>
      <c r="T944" s="4"/>
      <c r="U944" s="4"/>
      <c r="V944" s="4"/>
      <c r="W944" s="4"/>
      <c r="X944" s="4"/>
      <c r="Y944" s="4"/>
      <c r="Z944" s="4"/>
      <c r="AA944" s="4"/>
      <c r="AB944" s="4"/>
    </row>
    <row r="945" spans="1:28" ht="13.5" customHeight="1">
      <c r="A945" s="4"/>
      <c r="B945" s="9"/>
      <c r="C945" s="9"/>
      <c r="D945" s="4"/>
      <c r="E945" s="4"/>
      <c r="F945" s="4"/>
      <c r="G945" s="4"/>
      <c r="H945" s="4"/>
      <c r="I945" s="4"/>
      <c r="J945" s="4"/>
      <c r="K945" s="4"/>
      <c r="L945" s="38"/>
      <c r="M945" s="4"/>
      <c r="N945" s="4"/>
      <c r="O945" s="4"/>
      <c r="P945" s="4"/>
      <c r="Q945" s="4"/>
      <c r="R945" s="4"/>
      <c r="S945" s="4"/>
      <c r="T945" s="4"/>
      <c r="U945" s="4"/>
      <c r="V945" s="4"/>
      <c r="W945" s="4"/>
      <c r="X945" s="4"/>
      <c r="Y945" s="4"/>
      <c r="Z945" s="4"/>
      <c r="AA945" s="4"/>
      <c r="AB945" s="4"/>
    </row>
    <row r="946" spans="1:28" ht="13.5" customHeight="1">
      <c r="A946" s="4"/>
      <c r="B946" s="9"/>
      <c r="C946" s="9"/>
      <c r="D946" s="4"/>
      <c r="E946" s="4"/>
      <c r="F946" s="4"/>
      <c r="G946" s="4"/>
      <c r="H946" s="4"/>
      <c r="I946" s="4"/>
      <c r="J946" s="4"/>
      <c r="K946" s="4"/>
      <c r="L946" s="38"/>
      <c r="M946" s="4"/>
      <c r="N946" s="4"/>
      <c r="O946" s="4"/>
      <c r="P946" s="4"/>
      <c r="Q946" s="4"/>
      <c r="R946" s="4"/>
      <c r="S946" s="4"/>
      <c r="T946" s="4"/>
      <c r="U946" s="4"/>
      <c r="V946" s="4"/>
      <c r="W946" s="4"/>
      <c r="X946" s="4"/>
      <c r="Y946" s="4"/>
      <c r="Z946" s="4"/>
      <c r="AA946" s="4"/>
      <c r="AB946" s="4"/>
    </row>
    <row r="947" spans="1:28" ht="13.5" customHeight="1">
      <c r="A947" s="4"/>
      <c r="B947" s="9"/>
      <c r="C947" s="9"/>
      <c r="D947" s="4"/>
      <c r="E947" s="4"/>
      <c r="F947" s="4"/>
      <c r="G947" s="4"/>
      <c r="H947" s="4"/>
      <c r="I947" s="4"/>
      <c r="J947" s="4"/>
      <c r="K947" s="4"/>
      <c r="L947" s="38"/>
      <c r="M947" s="4"/>
      <c r="N947" s="4"/>
      <c r="O947" s="4"/>
      <c r="P947" s="4"/>
      <c r="Q947" s="4"/>
      <c r="R947" s="4"/>
      <c r="S947" s="4"/>
      <c r="T947" s="4"/>
      <c r="U947" s="4"/>
      <c r="V947" s="4"/>
      <c r="W947" s="4"/>
      <c r="X947" s="4"/>
      <c r="Y947" s="4"/>
      <c r="Z947" s="4"/>
      <c r="AA947" s="4"/>
      <c r="AB947" s="4"/>
    </row>
    <row r="948" spans="1:28" ht="13.5" customHeight="1">
      <c r="A948" s="4"/>
      <c r="B948" s="9"/>
      <c r="C948" s="9"/>
      <c r="D948" s="4"/>
      <c r="E948" s="4"/>
      <c r="F948" s="4"/>
      <c r="G948" s="4"/>
      <c r="H948" s="4"/>
      <c r="I948" s="4"/>
      <c r="J948" s="4"/>
      <c r="K948" s="4"/>
      <c r="L948" s="38"/>
      <c r="M948" s="4"/>
      <c r="N948" s="4"/>
      <c r="O948" s="4"/>
      <c r="P948" s="4"/>
      <c r="Q948" s="4"/>
      <c r="R948" s="4"/>
      <c r="S948" s="4"/>
      <c r="T948" s="4"/>
      <c r="U948" s="4"/>
      <c r="V948" s="4"/>
      <c r="W948" s="4"/>
      <c r="X948" s="4"/>
      <c r="Y948" s="4"/>
      <c r="Z948" s="4"/>
      <c r="AA948" s="4"/>
      <c r="AB948" s="4"/>
    </row>
    <row r="949" spans="1:28" ht="13.5" customHeight="1">
      <c r="A949" s="4"/>
      <c r="B949" s="9"/>
      <c r="C949" s="9"/>
      <c r="D949" s="4"/>
      <c r="E949" s="4"/>
      <c r="F949" s="4"/>
      <c r="G949" s="4"/>
      <c r="H949" s="4"/>
      <c r="I949" s="4"/>
      <c r="J949" s="4"/>
      <c r="K949" s="4"/>
      <c r="L949" s="38"/>
      <c r="M949" s="4"/>
      <c r="N949" s="4"/>
      <c r="O949" s="4"/>
      <c r="P949" s="4"/>
      <c r="Q949" s="4"/>
      <c r="R949" s="4"/>
      <c r="S949" s="4"/>
      <c r="T949" s="4"/>
      <c r="U949" s="4"/>
      <c r="V949" s="4"/>
      <c r="W949" s="4"/>
      <c r="X949" s="4"/>
      <c r="Y949" s="4"/>
      <c r="Z949" s="4"/>
      <c r="AA949" s="4"/>
      <c r="AB949" s="4"/>
    </row>
    <row r="950" spans="1:28" ht="13.5" customHeight="1">
      <c r="A950" s="4"/>
      <c r="B950" s="9"/>
      <c r="C950" s="9"/>
      <c r="D950" s="4"/>
      <c r="E950" s="4"/>
      <c r="F950" s="4"/>
      <c r="G950" s="4"/>
      <c r="H950" s="4"/>
      <c r="I950" s="4"/>
      <c r="J950" s="4"/>
      <c r="K950" s="4"/>
      <c r="L950" s="38"/>
      <c r="M950" s="4"/>
      <c r="N950" s="4"/>
      <c r="O950" s="4"/>
      <c r="P950" s="4"/>
      <c r="Q950" s="4"/>
      <c r="R950" s="4"/>
      <c r="S950" s="4"/>
      <c r="T950" s="4"/>
      <c r="U950" s="4"/>
      <c r="V950" s="4"/>
      <c r="W950" s="4"/>
      <c r="X950" s="4"/>
      <c r="Y950" s="4"/>
      <c r="Z950" s="4"/>
      <c r="AA950" s="4"/>
      <c r="AB950" s="4"/>
    </row>
    <row r="951" spans="1:28" ht="13.5" customHeight="1">
      <c r="A951" s="4"/>
      <c r="B951" s="9"/>
      <c r="C951" s="9"/>
      <c r="D951" s="4"/>
      <c r="E951" s="4"/>
      <c r="F951" s="4"/>
      <c r="G951" s="4"/>
      <c r="H951" s="4"/>
      <c r="I951" s="4"/>
      <c r="J951" s="4"/>
      <c r="K951" s="4"/>
      <c r="L951" s="38"/>
      <c r="M951" s="4"/>
      <c r="N951" s="4"/>
      <c r="O951" s="4"/>
      <c r="P951" s="4"/>
      <c r="Q951" s="4"/>
      <c r="R951" s="4"/>
      <c r="S951" s="4"/>
      <c r="T951" s="4"/>
      <c r="U951" s="4"/>
      <c r="V951" s="4"/>
      <c r="W951" s="4"/>
      <c r="X951" s="4"/>
      <c r="Y951" s="4"/>
      <c r="Z951" s="4"/>
      <c r="AA951" s="4"/>
      <c r="AB951" s="4"/>
    </row>
    <row r="952" spans="1:28" ht="13.5" customHeight="1">
      <c r="A952" s="4"/>
      <c r="B952" s="9"/>
      <c r="C952" s="9"/>
      <c r="D952" s="4"/>
      <c r="E952" s="4"/>
      <c r="F952" s="4"/>
      <c r="G952" s="4"/>
      <c r="H952" s="4"/>
      <c r="I952" s="4"/>
      <c r="J952" s="4"/>
      <c r="K952" s="4"/>
      <c r="L952" s="38"/>
      <c r="M952" s="4"/>
      <c r="N952" s="4"/>
      <c r="O952" s="4"/>
      <c r="P952" s="4"/>
      <c r="Q952" s="4"/>
      <c r="R952" s="4"/>
      <c r="S952" s="4"/>
      <c r="T952" s="4"/>
      <c r="U952" s="4"/>
      <c r="V952" s="4"/>
      <c r="W952" s="4"/>
      <c r="X952" s="4"/>
      <c r="Y952" s="4"/>
      <c r="Z952" s="4"/>
      <c r="AA952" s="4"/>
      <c r="AB952" s="4"/>
    </row>
    <row r="953" spans="1:28" ht="13.5" customHeight="1">
      <c r="A953" s="4"/>
      <c r="B953" s="9"/>
      <c r="C953" s="9"/>
      <c r="D953" s="4"/>
      <c r="E953" s="4"/>
      <c r="F953" s="4"/>
      <c r="G953" s="4"/>
      <c r="H953" s="4"/>
      <c r="I953" s="4"/>
      <c r="J953" s="4"/>
      <c r="K953" s="4"/>
      <c r="L953" s="38"/>
      <c r="M953" s="4"/>
      <c r="N953" s="4"/>
      <c r="O953" s="4"/>
      <c r="P953" s="4"/>
      <c r="Q953" s="4"/>
      <c r="R953" s="4"/>
      <c r="S953" s="4"/>
      <c r="T953" s="4"/>
      <c r="U953" s="4"/>
      <c r="V953" s="4"/>
      <c r="W953" s="4"/>
      <c r="X953" s="4"/>
      <c r="Y953" s="4"/>
      <c r="Z953" s="4"/>
      <c r="AA953" s="4"/>
      <c r="AB953" s="4"/>
    </row>
    <row r="954" spans="1:28" ht="13.5" customHeight="1">
      <c r="A954" s="4"/>
      <c r="B954" s="9"/>
      <c r="C954" s="9"/>
      <c r="D954" s="4"/>
      <c r="E954" s="4"/>
      <c r="F954" s="4"/>
      <c r="G954" s="4"/>
      <c r="H954" s="4"/>
      <c r="I954" s="4"/>
      <c r="J954" s="4"/>
      <c r="K954" s="4"/>
      <c r="L954" s="38"/>
      <c r="M954" s="4"/>
      <c r="N954" s="4"/>
      <c r="O954" s="4"/>
      <c r="P954" s="4"/>
      <c r="Q954" s="4"/>
      <c r="R954" s="4"/>
      <c r="S954" s="4"/>
      <c r="T954" s="4"/>
      <c r="U954" s="4"/>
      <c r="V954" s="4"/>
      <c r="W954" s="4"/>
      <c r="X954" s="4"/>
      <c r="Y954" s="4"/>
      <c r="Z954" s="4"/>
      <c r="AA954" s="4"/>
      <c r="AB954" s="4"/>
    </row>
    <row r="955" spans="1:28" ht="13.5" customHeight="1">
      <c r="A955" s="4"/>
      <c r="B955" s="9"/>
      <c r="C955" s="9"/>
      <c r="D955" s="4"/>
      <c r="E955" s="4"/>
      <c r="F955" s="4"/>
      <c r="G955" s="4"/>
      <c r="H955" s="4"/>
      <c r="I955" s="4"/>
      <c r="J955" s="4"/>
      <c r="K955" s="4"/>
      <c r="L955" s="38"/>
      <c r="M955" s="4"/>
      <c r="N955" s="4"/>
      <c r="O955" s="4"/>
      <c r="P955" s="4"/>
      <c r="Q955" s="4"/>
      <c r="R955" s="4"/>
      <c r="S955" s="4"/>
      <c r="T955" s="4"/>
      <c r="U955" s="4"/>
      <c r="V955" s="4"/>
      <c r="W955" s="4"/>
      <c r="X955" s="4"/>
      <c r="Y955" s="4"/>
      <c r="Z955" s="4"/>
      <c r="AA955" s="4"/>
      <c r="AB955" s="4"/>
    </row>
    <row r="956" spans="1:28" ht="13.5" customHeight="1">
      <c r="A956" s="4"/>
      <c r="B956" s="9"/>
      <c r="C956" s="9"/>
      <c r="D956" s="4"/>
      <c r="E956" s="4"/>
      <c r="F956" s="4"/>
      <c r="G956" s="4"/>
      <c r="H956" s="4"/>
      <c r="I956" s="4"/>
      <c r="J956" s="4"/>
      <c r="K956" s="4"/>
      <c r="L956" s="38"/>
      <c r="M956" s="4"/>
      <c r="N956" s="4"/>
      <c r="O956" s="4"/>
      <c r="P956" s="4"/>
      <c r="Q956" s="4"/>
      <c r="R956" s="4"/>
      <c r="S956" s="4"/>
      <c r="T956" s="4"/>
      <c r="U956" s="4"/>
      <c r="V956" s="4"/>
      <c r="W956" s="4"/>
      <c r="X956" s="4"/>
      <c r="Y956" s="4"/>
      <c r="Z956" s="4"/>
      <c r="AA956" s="4"/>
      <c r="AB956" s="4"/>
    </row>
    <row r="957" spans="1:28" ht="13.5" customHeight="1">
      <c r="A957" s="4"/>
      <c r="B957" s="9"/>
      <c r="C957" s="9"/>
      <c r="D957" s="4"/>
      <c r="E957" s="4"/>
      <c r="F957" s="4"/>
      <c r="G957" s="4"/>
      <c r="H957" s="4"/>
      <c r="I957" s="4"/>
      <c r="J957" s="4"/>
      <c r="K957" s="4"/>
      <c r="L957" s="38"/>
      <c r="M957" s="4"/>
      <c r="N957" s="4"/>
      <c r="O957" s="4"/>
      <c r="P957" s="4"/>
      <c r="Q957" s="4"/>
      <c r="R957" s="4"/>
      <c r="S957" s="4"/>
      <c r="T957" s="4"/>
      <c r="U957" s="4"/>
      <c r="V957" s="4"/>
      <c r="W957" s="4"/>
      <c r="X957" s="4"/>
      <c r="Y957" s="4"/>
      <c r="Z957" s="4"/>
      <c r="AA957" s="4"/>
      <c r="AB957" s="4"/>
    </row>
    <row r="958" spans="1:28" ht="13.5" customHeight="1">
      <c r="A958" s="4"/>
      <c r="B958" s="9"/>
      <c r="C958" s="9"/>
      <c r="D958" s="4"/>
      <c r="E958" s="4"/>
      <c r="F958" s="4"/>
      <c r="G958" s="4"/>
      <c r="H958" s="4"/>
      <c r="I958" s="4"/>
      <c r="J958" s="4"/>
      <c r="K958" s="4"/>
      <c r="L958" s="38"/>
      <c r="M958" s="4"/>
      <c r="N958" s="4"/>
      <c r="O958" s="4"/>
      <c r="P958" s="4"/>
      <c r="Q958" s="4"/>
      <c r="R958" s="4"/>
      <c r="S958" s="4"/>
      <c r="T958" s="4"/>
      <c r="U958" s="4"/>
      <c r="V958" s="4"/>
      <c r="W958" s="4"/>
      <c r="X958" s="4"/>
      <c r="Y958" s="4"/>
      <c r="Z958" s="4"/>
      <c r="AA958" s="4"/>
      <c r="AB958" s="4"/>
    </row>
    <row r="959" spans="1:28" ht="13.5" customHeight="1">
      <c r="A959" s="4"/>
      <c r="B959" s="9"/>
      <c r="C959" s="9"/>
      <c r="D959" s="4"/>
      <c r="E959" s="4"/>
      <c r="F959" s="4"/>
      <c r="G959" s="4"/>
      <c r="H959" s="4"/>
      <c r="I959" s="4"/>
      <c r="J959" s="4"/>
      <c r="K959" s="4"/>
      <c r="L959" s="38"/>
      <c r="M959" s="4"/>
      <c r="N959" s="4"/>
      <c r="O959" s="4"/>
      <c r="P959" s="4"/>
      <c r="Q959" s="4"/>
      <c r="R959" s="4"/>
      <c r="S959" s="4"/>
      <c r="T959" s="4"/>
      <c r="U959" s="4"/>
      <c r="V959" s="4"/>
      <c r="W959" s="4"/>
      <c r="X959" s="4"/>
      <c r="Y959" s="4"/>
      <c r="Z959" s="4"/>
      <c r="AA959" s="4"/>
      <c r="AB959" s="4"/>
    </row>
    <row r="960" spans="1:28" ht="13.5" customHeight="1">
      <c r="A960" s="4"/>
      <c r="B960" s="9"/>
      <c r="C960" s="9"/>
      <c r="D960" s="4"/>
      <c r="E960" s="4"/>
      <c r="F960" s="4"/>
      <c r="G960" s="4"/>
      <c r="H960" s="4"/>
      <c r="I960" s="4"/>
      <c r="J960" s="4"/>
      <c r="K960" s="4"/>
      <c r="L960" s="38"/>
      <c r="M960" s="4"/>
      <c r="N960" s="4"/>
      <c r="O960" s="4"/>
      <c r="P960" s="4"/>
      <c r="Q960" s="4"/>
      <c r="R960" s="4"/>
      <c r="S960" s="4"/>
      <c r="T960" s="4"/>
      <c r="U960" s="4"/>
      <c r="V960" s="4"/>
      <c r="W960" s="4"/>
      <c r="X960" s="4"/>
      <c r="Y960" s="4"/>
      <c r="Z960" s="4"/>
      <c r="AA960" s="4"/>
      <c r="AB960" s="4"/>
    </row>
    <row r="961" spans="1:28" ht="13.5" customHeight="1">
      <c r="A961" s="4"/>
      <c r="B961" s="9"/>
      <c r="C961" s="9"/>
      <c r="D961" s="4"/>
      <c r="E961" s="4"/>
      <c r="F961" s="4"/>
      <c r="G961" s="4"/>
      <c r="H961" s="4"/>
      <c r="I961" s="4"/>
      <c r="J961" s="4"/>
      <c r="K961" s="4"/>
      <c r="L961" s="38"/>
      <c r="M961" s="4"/>
      <c r="N961" s="4"/>
      <c r="O961" s="4"/>
      <c r="P961" s="4"/>
      <c r="Q961" s="4"/>
      <c r="R961" s="4"/>
      <c r="S961" s="4"/>
      <c r="T961" s="4"/>
      <c r="U961" s="4"/>
      <c r="V961" s="4"/>
      <c r="W961" s="4"/>
      <c r="X961" s="4"/>
      <c r="Y961" s="4"/>
      <c r="Z961" s="4"/>
      <c r="AA961" s="4"/>
      <c r="AB961" s="4"/>
    </row>
    <row r="962" spans="1:28" ht="13.5" customHeight="1">
      <c r="A962" s="4"/>
      <c r="B962" s="9"/>
      <c r="C962" s="9"/>
      <c r="D962" s="4"/>
      <c r="E962" s="4"/>
      <c r="F962" s="4"/>
      <c r="G962" s="4"/>
      <c r="H962" s="4"/>
      <c r="I962" s="4"/>
      <c r="J962" s="4"/>
      <c r="K962" s="4"/>
      <c r="L962" s="38"/>
      <c r="M962" s="4"/>
      <c r="N962" s="4"/>
      <c r="O962" s="4"/>
      <c r="P962" s="4"/>
      <c r="Q962" s="4"/>
      <c r="R962" s="4"/>
      <c r="S962" s="4"/>
      <c r="T962" s="4"/>
      <c r="U962" s="4"/>
      <c r="V962" s="4"/>
      <c r="W962" s="4"/>
      <c r="X962" s="4"/>
      <c r="Y962" s="4"/>
      <c r="Z962" s="4"/>
      <c r="AA962" s="4"/>
      <c r="AB962" s="4"/>
    </row>
    <row r="963" spans="1:28" ht="13.5" customHeight="1">
      <c r="A963" s="4"/>
      <c r="B963" s="9"/>
      <c r="C963" s="9"/>
      <c r="D963" s="4"/>
      <c r="E963" s="4"/>
      <c r="F963" s="4"/>
      <c r="G963" s="4"/>
      <c r="H963" s="4"/>
      <c r="I963" s="4"/>
      <c r="J963" s="4"/>
      <c r="K963" s="4"/>
      <c r="L963" s="38"/>
      <c r="M963" s="4"/>
      <c r="N963" s="4"/>
      <c r="O963" s="4"/>
      <c r="P963" s="4"/>
      <c r="Q963" s="4"/>
      <c r="R963" s="4"/>
      <c r="S963" s="4"/>
      <c r="T963" s="4"/>
      <c r="U963" s="4"/>
      <c r="V963" s="4"/>
      <c r="W963" s="4"/>
      <c r="X963" s="4"/>
      <c r="Y963" s="4"/>
      <c r="Z963" s="4"/>
      <c r="AA963" s="4"/>
      <c r="AB963" s="4"/>
    </row>
    <row r="964" spans="1:28" ht="13.5" customHeight="1">
      <c r="A964" s="4"/>
      <c r="B964" s="9"/>
      <c r="C964" s="9"/>
      <c r="D964" s="4"/>
      <c r="E964" s="4"/>
      <c r="F964" s="4"/>
      <c r="G964" s="4"/>
      <c r="H964" s="4"/>
      <c r="I964" s="4"/>
      <c r="J964" s="4"/>
      <c r="K964" s="4"/>
      <c r="L964" s="38"/>
      <c r="M964" s="4"/>
      <c r="N964" s="4"/>
      <c r="O964" s="4"/>
      <c r="P964" s="4"/>
      <c r="Q964" s="4"/>
      <c r="R964" s="4"/>
      <c r="S964" s="4"/>
      <c r="T964" s="4"/>
      <c r="U964" s="4"/>
      <c r="V964" s="4"/>
      <c r="W964" s="4"/>
      <c r="X964" s="4"/>
      <c r="Y964" s="4"/>
      <c r="Z964" s="4"/>
      <c r="AA964" s="4"/>
      <c r="AB964" s="4"/>
    </row>
    <row r="965" spans="1:28" ht="13.5" customHeight="1">
      <c r="A965" s="4"/>
      <c r="B965" s="9"/>
      <c r="C965" s="9"/>
      <c r="D965" s="4"/>
      <c r="E965" s="4"/>
      <c r="F965" s="4"/>
      <c r="G965" s="4"/>
      <c r="H965" s="4"/>
      <c r="I965" s="4"/>
      <c r="J965" s="4"/>
      <c r="K965" s="4"/>
      <c r="L965" s="38"/>
      <c r="M965" s="4"/>
      <c r="N965" s="4"/>
      <c r="O965" s="4"/>
      <c r="P965" s="4"/>
      <c r="Q965" s="4"/>
      <c r="R965" s="4"/>
      <c r="S965" s="4"/>
      <c r="T965" s="4"/>
      <c r="U965" s="4"/>
      <c r="V965" s="4"/>
      <c r="W965" s="4"/>
      <c r="X965" s="4"/>
      <c r="Y965" s="4"/>
      <c r="Z965" s="4"/>
      <c r="AA965" s="4"/>
      <c r="AB965" s="4"/>
    </row>
    <row r="966" spans="1:28" ht="13.5" customHeight="1">
      <c r="A966" s="4"/>
      <c r="B966" s="9"/>
      <c r="C966" s="9"/>
      <c r="D966" s="4"/>
      <c r="E966" s="4"/>
      <c r="F966" s="4"/>
      <c r="G966" s="4"/>
      <c r="H966" s="4"/>
      <c r="I966" s="4"/>
      <c r="J966" s="4"/>
      <c r="K966" s="4"/>
      <c r="L966" s="38"/>
      <c r="M966" s="4"/>
      <c r="N966" s="4"/>
      <c r="O966" s="4"/>
      <c r="P966" s="4"/>
      <c r="Q966" s="4"/>
      <c r="R966" s="4"/>
      <c r="S966" s="4"/>
      <c r="T966" s="4"/>
      <c r="U966" s="4"/>
      <c r="V966" s="4"/>
      <c r="W966" s="4"/>
      <c r="X966" s="4"/>
      <c r="Y966" s="4"/>
      <c r="Z966" s="4"/>
      <c r="AA966" s="4"/>
      <c r="AB966" s="4"/>
    </row>
    <row r="967" spans="1:28" ht="13.5" customHeight="1">
      <c r="A967" s="4"/>
      <c r="B967" s="9"/>
      <c r="C967" s="9"/>
      <c r="D967" s="4"/>
      <c r="E967" s="4"/>
      <c r="F967" s="4"/>
      <c r="G967" s="4"/>
      <c r="H967" s="4"/>
      <c r="I967" s="4"/>
      <c r="J967" s="4"/>
      <c r="K967" s="4"/>
      <c r="L967" s="38"/>
      <c r="M967" s="4"/>
      <c r="N967" s="4"/>
      <c r="O967" s="4"/>
      <c r="P967" s="4"/>
      <c r="Q967" s="4"/>
      <c r="R967" s="4"/>
      <c r="S967" s="4"/>
      <c r="T967" s="4"/>
      <c r="U967" s="4"/>
      <c r="V967" s="4"/>
      <c r="W967" s="4"/>
      <c r="X967" s="4"/>
      <c r="Y967" s="4"/>
      <c r="Z967" s="4"/>
      <c r="AA967" s="4"/>
      <c r="AB967" s="4"/>
    </row>
    <row r="968" spans="1:28" ht="13.5" customHeight="1">
      <c r="A968" s="4"/>
      <c r="B968" s="9"/>
      <c r="C968" s="9"/>
      <c r="D968" s="4"/>
      <c r="E968" s="4"/>
      <c r="F968" s="4"/>
      <c r="G968" s="4"/>
      <c r="H968" s="4"/>
      <c r="I968" s="4"/>
      <c r="J968" s="4"/>
      <c r="K968" s="4"/>
      <c r="L968" s="38"/>
      <c r="M968" s="4"/>
      <c r="N968" s="4"/>
      <c r="O968" s="4"/>
      <c r="P968" s="4"/>
      <c r="Q968" s="4"/>
      <c r="R968" s="4"/>
      <c r="S968" s="4"/>
      <c r="T968" s="4"/>
      <c r="U968" s="4"/>
      <c r="V968" s="4"/>
      <c r="W968" s="4"/>
      <c r="X968" s="4"/>
      <c r="Y968" s="4"/>
      <c r="Z968" s="4"/>
      <c r="AA968" s="4"/>
      <c r="AB968" s="4"/>
    </row>
    <row r="969" spans="1:28" ht="13.5" customHeight="1">
      <c r="A969" s="4"/>
      <c r="B969" s="9"/>
      <c r="C969" s="9"/>
      <c r="D969" s="4"/>
      <c r="E969" s="4"/>
      <c r="F969" s="4"/>
      <c r="G969" s="4"/>
      <c r="H969" s="4"/>
      <c r="I969" s="4"/>
      <c r="J969" s="4"/>
      <c r="K969" s="4"/>
      <c r="L969" s="38"/>
      <c r="M969" s="4"/>
      <c r="N969" s="4"/>
      <c r="O969" s="4"/>
      <c r="P969" s="4"/>
      <c r="Q969" s="4"/>
      <c r="R969" s="4"/>
      <c r="S969" s="4"/>
      <c r="T969" s="4"/>
      <c r="U969" s="4"/>
      <c r="V969" s="4"/>
      <c r="W969" s="4"/>
      <c r="X969" s="4"/>
      <c r="Y969" s="4"/>
      <c r="Z969" s="4"/>
      <c r="AA969" s="4"/>
      <c r="AB969" s="4"/>
    </row>
    <row r="970" spans="1:28" ht="13.5" customHeight="1">
      <c r="A970" s="4"/>
      <c r="B970" s="9"/>
      <c r="C970" s="9"/>
      <c r="D970" s="4"/>
      <c r="E970" s="4"/>
      <c r="F970" s="4"/>
      <c r="G970" s="4"/>
      <c r="H970" s="4"/>
      <c r="I970" s="4"/>
      <c r="J970" s="4"/>
      <c r="K970" s="4"/>
      <c r="L970" s="38"/>
      <c r="M970" s="4"/>
      <c r="N970" s="4"/>
      <c r="O970" s="4"/>
      <c r="P970" s="4"/>
      <c r="Q970" s="4"/>
      <c r="R970" s="4"/>
      <c r="S970" s="4"/>
      <c r="T970" s="4"/>
      <c r="U970" s="4"/>
      <c r="V970" s="4"/>
      <c r="W970" s="4"/>
      <c r="X970" s="4"/>
      <c r="Y970" s="4"/>
      <c r="Z970" s="4"/>
      <c r="AA970" s="4"/>
      <c r="AB970" s="4"/>
    </row>
    <row r="971" spans="1:28" ht="13.5" customHeight="1">
      <c r="A971" s="4"/>
      <c r="B971" s="9"/>
      <c r="C971" s="9"/>
      <c r="D971" s="4"/>
      <c r="E971" s="4"/>
      <c r="F971" s="4"/>
      <c r="G971" s="4"/>
      <c r="H971" s="4"/>
      <c r="I971" s="4"/>
      <c r="J971" s="4"/>
      <c r="K971" s="4"/>
      <c r="L971" s="38"/>
      <c r="M971" s="4"/>
      <c r="N971" s="4"/>
      <c r="O971" s="4"/>
      <c r="P971" s="4"/>
      <c r="Q971" s="4"/>
      <c r="R971" s="4"/>
      <c r="S971" s="4"/>
      <c r="T971" s="4"/>
      <c r="U971" s="4"/>
      <c r="V971" s="4"/>
      <c r="W971" s="4"/>
      <c r="X971" s="4"/>
      <c r="Y971" s="4"/>
      <c r="Z971" s="4"/>
      <c r="AA971" s="4"/>
      <c r="AB971" s="4"/>
    </row>
    <row r="972" spans="1:28" ht="13.5" customHeight="1">
      <c r="A972" s="4"/>
      <c r="B972" s="9"/>
      <c r="C972" s="9"/>
      <c r="D972" s="4"/>
      <c r="E972" s="4"/>
      <c r="F972" s="4"/>
      <c r="G972" s="4"/>
      <c r="H972" s="4"/>
      <c r="I972" s="4"/>
      <c r="J972" s="4"/>
      <c r="K972" s="4"/>
      <c r="L972" s="38"/>
      <c r="M972" s="4"/>
      <c r="N972" s="4"/>
      <c r="O972" s="4"/>
      <c r="P972" s="4"/>
      <c r="Q972" s="4"/>
      <c r="R972" s="4"/>
      <c r="S972" s="4"/>
      <c r="T972" s="4"/>
      <c r="U972" s="4"/>
      <c r="V972" s="4"/>
      <c r="W972" s="4"/>
      <c r="X972" s="4"/>
      <c r="Y972" s="4"/>
      <c r="Z972" s="4"/>
      <c r="AA972" s="4"/>
      <c r="AB972" s="4"/>
    </row>
    <row r="973" spans="1:28" ht="13.5" customHeight="1">
      <c r="A973" s="4"/>
      <c r="B973" s="9"/>
      <c r="C973" s="9"/>
      <c r="D973" s="4"/>
      <c r="E973" s="4"/>
      <c r="F973" s="4"/>
      <c r="G973" s="4"/>
      <c r="H973" s="4"/>
      <c r="I973" s="4"/>
      <c r="J973" s="4"/>
      <c r="K973" s="4"/>
      <c r="L973" s="38"/>
      <c r="M973" s="4"/>
      <c r="N973" s="4"/>
      <c r="O973" s="4"/>
      <c r="P973" s="4"/>
      <c r="Q973" s="4"/>
      <c r="R973" s="4"/>
      <c r="S973" s="4"/>
      <c r="T973" s="4"/>
      <c r="U973" s="4"/>
      <c r="V973" s="4"/>
      <c r="W973" s="4"/>
      <c r="X973" s="4"/>
      <c r="Y973" s="4"/>
      <c r="Z973" s="4"/>
      <c r="AA973" s="4"/>
      <c r="AB973" s="4"/>
    </row>
    <row r="974" spans="1:28" ht="13.5" customHeight="1">
      <c r="A974" s="4"/>
      <c r="B974" s="9"/>
      <c r="C974" s="9"/>
      <c r="D974" s="4"/>
      <c r="E974" s="4"/>
      <c r="F974" s="4"/>
      <c r="G974" s="4"/>
      <c r="H974" s="4"/>
      <c r="I974" s="4"/>
      <c r="J974" s="4"/>
      <c r="K974" s="4"/>
      <c r="L974" s="38"/>
      <c r="M974" s="4"/>
      <c r="N974" s="4"/>
      <c r="O974" s="4"/>
      <c r="P974" s="4"/>
      <c r="Q974" s="4"/>
      <c r="R974" s="4"/>
      <c r="S974" s="4"/>
      <c r="T974" s="4"/>
      <c r="U974" s="4"/>
      <c r="V974" s="4"/>
      <c r="W974" s="4"/>
      <c r="X974" s="4"/>
      <c r="Y974" s="4"/>
      <c r="Z974" s="4"/>
      <c r="AA974" s="4"/>
      <c r="AB974" s="4"/>
    </row>
    <row r="975" spans="1:28" ht="13.5" customHeight="1">
      <c r="A975" s="4"/>
      <c r="B975" s="9"/>
      <c r="C975" s="9"/>
      <c r="D975" s="4"/>
      <c r="E975" s="4"/>
      <c r="F975" s="4"/>
      <c r="G975" s="4"/>
      <c r="H975" s="4"/>
      <c r="I975" s="4"/>
      <c r="J975" s="4"/>
      <c r="K975" s="4"/>
      <c r="L975" s="38"/>
      <c r="M975" s="4"/>
      <c r="N975" s="4"/>
      <c r="O975" s="4"/>
      <c r="P975" s="4"/>
      <c r="Q975" s="4"/>
      <c r="R975" s="4"/>
      <c r="S975" s="4"/>
      <c r="T975" s="4"/>
      <c r="U975" s="4"/>
      <c r="V975" s="4"/>
      <c r="W975" s="4"/>
      <c r="X975" s="4"/>
      <c r="Y975" s="4"/>
      <c r="Z975" s="4"/>
      <c r="AA975" s="4"/>
      <c r="AB975" s="4"/>
    </row>
    <row r="976" spans="1:28" ht="13.5" customHeight="1">
      <c r="A976" s="4"/>
      <c r="B976" s="9"/>
      <c r="C976" s="9"/>
      <c r="D976" s="4"/>
      <c r="E976" s="4"/>
      <c r="F976" s="4"/>
      <c r="G976" s="4"/>
      <c r="H976" s="4"/>
      <c r="I976" s="4"/>
      <c r="J976" s="4"/>
      <c r="K976" s="4"/>
      <c r="L976" s="38"/>
      <c r="M976" s="4"/>
      <c r="N976" s="4"/>
      <c r="O976" s="4"/>
      <c r="P976" s="4"/>
      <c r="Q976" s="4"/>
      <c r="R976" s="4"/>
      <c r="S976" s="4"/>
      <c r="T976" s="4"/>
      <c r="U976" s="4"/>
      <c r="V976" s="4"/>
      <c r="W976" s="4"/>
      <c r="X976" s="4"/>
      <c r="Y976" s="4"/>
      <c r="Z976" s="4"/>
      <c r="AA976" s="4"/>
      <c r="AB976" s="4"/>
    </row>
    <row r="977" spans="1:28" ht="13.5" customHeight="1">
      <c r="A977" s="4"/>
      <c r="B977" s="9"/>
      <c r="C977" s="9"/>
      <c r="D977" s="4"/>
      <c r="E977" s="4"/>
      <c r="F977" s="4"/>
      <c r="G977" s="4"/>
      <c r="H977" s="4"/>
      <c r="I977" s="4"/>
      <c r="J977" s="4"/>
      <c r="K977" s="4"/>
      <c r="L977" s="38"/>
      <c r="M977" s="4"/>
      <c r="N977" s="4"/>
      <c r="O977" s="4"/>
      <c r="P977" s="4"/>
      <c r="Q977" s="4"/>
      <c r="R977" s="4"/>
      <c r="S977" s="4"/>
      <c r="T977" s="4"/>
      <c r="U977" s="4"/>
      <c r="V977" s="4"/>
      <c r="W977" s="4"/>
      <c r="X977" s="4"/>
      <c r="Y977" s="4"/>
      <c r="Z977" s="4"/>
      <c r="AA977" s="4"/>
      <c r="AB977" s="4"/>
    </row>
    <row r="978" spans="1:28" ht="13.5" customHeight="1">
      <c r="A978" s="4"/>
      <c r="B978" s="9"/>
      <c r="C978" s="9"/>
      <c r="D978" s="4"/>
      <c r="E978" s="4"/>
      <c r="F978" s="4"/>
      <c r="G978" s="4"/>
      <c r="H978" s="4"/>
      <c r="I978" s="4"/>
      <c r="J978" s="4"/>
      <c r="K978" s="4"/>
      <c r="L978" s="38"/>
      <c r="M978" s="4"/>
      <c r="N978" s="4"/>
      <c r="O978" s="4"/>
      <c r="P978" s="4"/>
      <c r="Q978" s="4"/>
      <c r="R978" s="4"/>
      <c r="S978" s="4"/>
      <c r="T978" s="4"/>
      <c r="U978" s="4"/>
      <c r="V978" s="4"/>
      <c r="W978" s="4"/>
      <c r="X978" s="4"/>
      <c r="Y978" s="4"/>
      <c r="Z978" s="4"/>
      <c r="AA978" s="4"/>
      <c r="AB978" s="4"/>
    </row>
    <row r="979" spans="1:28" ht="13.5" customHeight="1">
      <c r="A979" s="4"/>
      <c r="B979" s="9"/>
      <c r="C979" s="9"/>
      <c r="D979" s="4"/>
      <c r="E979" s="4"/>
      <c r="F979" s="4"/>
      <c r="G979" s="4"/>
      <c r="H979" s="4"/>
      <c r="I979" s="4"/>
      <c r="J979" s="4"/>
      <c r="K979" s="4"/>
      <c r="L979" s="38"/>
      <c r="M979" s="4"/>
      <c r="N979" s="4"/>
      <c r="O979" s="4"/>
      <c r="P979" s="4"/>
      <c r="Q979" s="4"/>
      <c r="R979" s="4"/>
      <c r="S979" s="4"/>
      <c r="T979" s="4"/>
      <c r="U979" s="4"/>
      <c r="V979" s="4"/>
      <c r="W979" s="4"/>
      <c r="X979" s="4"/>
      <c r="Y979" s="4"/>
      <c r="Z979" s="4"/>
      <c r="AA979" s="4"/>
      <c r="AB979" s="4"/>
    </row>
    <row r="980" spans="1:28" ht="13.5" customHeight="1">
      <c r="A980" s="4"/>
      <c r="B980" s="9"/>
      <c r="C980" s="9"/>
      <c r="D980" s="4"/>
      <c r="E980" s="4"/>
      <c r="F980" s="4"/>
      <c r="G980" s="4"/>
      <c r="H980" s="4"/>
      <c r="I980" s="4"/>
      <c r="J980" s="4"/>
      <c r="K980" s="4"/>
      <c r="L980" s="38"/>
      <c r="M980" s="4"/>
      <c r="N980" s="4"/>
      <c r="O980" s="4"/>
      <c r="P980" s="4"/>
      <c r="Q980" s="4"/>
      <c r="R980" s="4"/>
      <c r="S980" s="4"/>
      <c r="T980" s="4"/>
      <c r="U980" s="4"/>
      <c r="V980" s="4"/>
      <c r="W980" s="4"/>
      <c r="X980" s="4"/>
      <c r="Y980" s="4"/>
      <c r="Z980" s="4"/>
      <c r="AA980" s="4"/>
      <c r="AB980" s="4"/>
    </row>
    <row r="981" spans="1:28" ht="13.5" customHeight="1">
      <c r="A981" s="4"/>
      <c r="B981" s="9"/>
      <c r="C981" s="9"/>
      <c r="D981" s="4"/>
      <c r="E981" s="4"/>
      <c r="F981" s="4"/>
      <c r="G981" s="4"/>
      <c r="H981" s="4"/>
      <c r="I981" s="4"/>
      <c r="J981" s="4"/>
      <c r="K981" s="4"/>
      <c r="L981" s="38"/>
      <c r="M981" s="4"/>
      <c r="N981" s="4"/>
      <c r="O981" s="4"/>
      <c r="P981" s="4"/>
      <c r="Q981" s="4"/>
      <c r="R981" s="4"/>
      <c r="S981" s="4"/>
      <c r="T981" s="4"/>
      <c r="U981" s="4"/>
      <c r="V981" s="4"/>
      <c r="W981" s="4"/>
      <c r="X981" s="4"/>
      <c r="Y981" s="4"/>
      <c r="Z981" s="4"/>
      <c r="AA981" s="4"/>
      <c r="AB981" s="4"/>
    </row>
    <row r="982" spans="1:28" ht="13.5" customHeight="1">
      <c r="A982" s="4"/>
      <c r="B982" s="9"/>
      <c r="C982" s="9"/>
      <c r="D982" s="4"/>
      <c r="E982" s="4"/>
      <c r="F982" s="4"/>
      <c r="G982" s="4"/>
      <c r="H982" s="4"/>
      <c r="I982" s="4"/>
      <c r="J982" s="4"/>
      <c r="K982" s="4"/>
      <c r="L982" s="38"/>
      <c r="M982" s="4"/>
      <c r="N982" s="4"/>
      <c r="O982" s="4"/>
      <c r="P982" s="4"/>
      <c r="Q982" s="4"/>
      <c r="R982" s="4"/>
      <c r="S982" s="4"/>
      <c r="T982" s="4"/>
      <c r="U982" s="4"/>
      <c r="V982" s="4"/>
      <c r="W982" s="4"/>
      <c r="X982" s="4"/>
      <c r="Y982" s="4"/>
      <c r="Z982" s="4"/>
      <c r="AA982" s="4"/>
      <c r="AB982" s="4"/>
    </row>
    <row r="983" spans="1:28" ht="13.5" customHeight="1">
      <c r="A983" s="4"/>
      <c r="B983" s="9"/>
      <c r="C983" s="9"/>
      <c r="D983" s="4"/>
      <c r="E983" s="4"/>
      <c r="F983" s="4"/>
      <c r="G983" s="4"/>
      <c r="H983" s="4"/>
      <c r="I983" s="4"/>
      <c r="J983" s="4"/>
      <c r="K983" s="4"/>
      <c r="L983" s="38"/>
      <c r="M983" s="4"/>
      <c r="N983" s="4"/>
      <c r="O983" s="4"/>
      <c r="P983" s="4"/>
      <c r="Q983" s="4"/>
      <c r="R983" s="4"/>
      <c r="S983" s="4"/>
      <c r="T983" s="4"/>
      <c r="U983" s="4"/>
      <c r="V983" s="4"/>
      <c r="W983" s="4"/>
      <c r="X983" s="4"/>
      <c r="Y983" s="4"/>
      <c r="Z983" s="4"/>
      <c r="AA983" s="4"/>
      <c r="AB983" s="4"/>
    </row>
    <row r="984" spans="1:28" ht="13.5" customHeight="1">
      <c r="A984" s="4"/>
      <c r="B984" s="9"/>
      <c r="C984" s="9"/>
      <c r="D984" s="4"/>
      <c r="E984" s="4"/>
      <c r="F984" s="4"/>
      <c r="G984" s="4"/>
      <c r="H984" s="4"/>
      <c r="I984" s="4"/>
      <c r="J984" s="4"/>
      <c r="K984" s="4"/>
      <c r="L984" s="38"/>
      <c r="M984" s="4"/>
      <c r="N984" s="4"/>
      <c r="O984" s="4"/>
      <c r="P984" s="4"/>
      <c r="Q984" s="4"/>
      <c r="R984" s="4"/>
      <c r="S984" s="4"/>
      <c r="T984" s="4"/>
      <c r="U984" s="4"/>
      <c r="V984" s="4"/>
      <c r="W984" s="4"/>
      <c r="X984" s="4"/>
      <c r="Y984" s="4"/>
      <c r="Z984" s="4"/>
      <c r="AA984" s="4"/>
      <c r="AB984" s="4"/>
    </row>
    <row r="985" spans="1:28" ht="13.5" customHeight="1">
      <c r="A985" s="4"/>
      <c r="B985" s="9"/>
      <c r="C985" s="9"/>
      <c r="D985" s="4"/>
      <c r="E985" s="4"/>
      <c r="F985" s="4"/>
      <c r="G985" s="4"/>
      <c r="H985" s="4"/>
      <c r="I985" s="4"/>
      <c r="J985" s="4"/>
      <c r="K985" s="4"/>
      <c r="L985" s="38"/>
      <c r="M985" s="4"/>
      <c r="N985" s="4"/>
      <c r="O985" s="4"/>
      <c r="P985" s="4"/>
      <c r="Q985" s="4"/>
      <c r="R985" s="4"/>
      <c r="S985" s="4"/>
      <c r="T985" s="4"/>
      <c r="U985" s="4"/>
      <c r="V985" s="4"/>
      <c r="W985" s="4"/>
      <c r="X985" s="4"/>
      <c r="Y985" s="4"/>
      <c r="Z985" s="4"/>
      <c r="AA985" s="4"/>
      <c r="AB985" s="4"/>
    </row>
    <row r="986" spans="1:28" ht="13.5" customHeight="1">
      <c r="A986" s="4"/>
      <c r="B986" s="9"/>
      <c r="C986" s="9"/>
      <c r="D986" s="4"/>
      <c r="E986" s="4"/>
      <c r="F986" s="4"/>
      <c r="G986" s="4"/>
      <c r="H986" s="4"/>
      <c r="I986" s="4"/>
      <c r="J986" s="4"/>
      <c r="K986" s="4"/>
      <c r="L986" s="38"/>
      <c r="M986" s="4"/>
      <c r="N986" s="4"/>
      <c r="O986" s="4"/>
      <c r="P986" s="4"/>
      <c r="Q986" s="4"/>
      <c r="R986" s="4"/>
      <c r="S986" s="4"/>
      <c r="T986" s="4"/>
      <c r="U986" s="4"/>
      <c r="V986" s="4"/>
      <c r="W986" s="4"/>
      <c r="X986" s="4"/>
      <c r="Y986" s="4"/>
      <c r="Z986" s="4"/>
      <c r="AA986" s="4"/>
      <c r="AB986" s="4"/>
    </row>
    <row r="987" spans="1:28" ht="13.5" customHeight="1">
      <c r="A987" s="4"/>
      <c r="B987" s="9"/>
      <c r="C987" s="9"/>
      <c r="D987" s="4"/>
      <c r="E987" s="4"/>
      <c r="F987" s="4"/>
      <c r="G987" s="4"/>
      <c r="H987" s="4"/>
      <c r="I987" s="4"/>
      <c r="J987" s="4"/>
      <c r="K987" s="4"/>
      <c r="L987" s="38"/>
      <c r="M987" s="4"/>
      <c r="N987" s="4"/>
      <c r="O987" s="4"/>
      <c r="P987" s="4"/>
      <c r="Q987" s="4"/>
      <c r="R987" s="4"/>
      <c r="S987" s="4"/>
      <c r="T987" s="4"/>
      <c r="U987" s="4"/>
      <c r="V987" s="4"/>
      <c r="W987" s="4"/>
      <c r="X987" s="4"/>
      <c r="Y987" s="4"/>
      <c r="Z987" s="4"/>
      <c r="AA987" s="4"/>
      <c r="AB987" s="4"/>
    </row>
    <row r="988" spans="1:28" ht="13.5" customHeight="1">
      <c r="A988" s="4"/>
      <c r="B988" s="9"/>
      <c r="C988" s="9"/>
      <c r="D988" s="4"/>
      <c r="E988" s="4"/>
      <c r="F988" s="4"/>
      <c r="G988" s="4"/>
      <c r="H988" s="4"/>
      <c r="I988" s="4"/>
      <c r="J988" s="4"/>
      <c r="K988" s="4"/>
      <c r="L988" s="38"/>
      <c r="M988" s="4"/>
      <c r="N988" s="4"/>
      <c r="O988" s="4"/>
      <c r="P988" s="4"/>
      <c r="Q988" s="4"/>
      <c r="R988" s="4"/>
      <c r="S988" s="4"/>
      <c r="T988" s="4"/>
      <c r="U988" s="4"/>
      <c r="V988" s="4"/>
      <c r="W988" s="4"/>
      <c r="X988" s="4"/>
      <c r="Y988" s="4"/>
      <c r="Z988" s="4"/>
      <c r="AA988" s="4"/>
      <c r="AB988" s="4"/>
    </row>
    <row r="989" spans="1:28" ht="13.5" customHeight="1">
      <c r="A989" s="4"/>
      <c r="B989" s="9"/>
      <c r="C989" s="9"/>
      <c r="D989" s="4"/>
      <c r="E989" s="4"/>
      <c r="F989" s="4"/>
      <c r="G989" s="4"/>
      <c r="H989" s="4"/>
      <c r="I989" s="4"/>
      <c r="J989" s="4"/>
      <c r="K989" s="4"/>
      <c r="L989" s="38"/>
      <c r="M989" s="4"/>
      <c r="N989" s="4"/>
      <c r="O989" s="4"/>
      <c r="P989" s="4"/>
      <c r="Q989" s="4"/>
      <c r="R989" s="4"/>
      <c r="S989" s="4"/>
      <c r="T989" s="4"/>
      <c r="U989" s="4"/>
      <c r="V989" s="4"/>
      <c r="W989" s="4"/>
      <c r="X989" s="4"/>
      <c r="Y989" s="4"/>
      <c r="Z989" s="4"/>
      <c r="AA989" s="4"/>
      <c r="AB989" s="4"/>
    </row>
    <row r="990" spans="1:28" ht="13.5" customHeight="1">
      <c r="A990" s="4"/>
      <c r="B990" s="9"/>
      <c r="C990" s="9"/>
      <c r="D990" s="4"/>
      <c r="E990" s="4"/>
      <c r="F990" s="4"/>
      <c r="G990" s="4"/>
      <c r="H990" s="4"/>
      <c r="I990" s="4"/>
      <c r="J990" s="4"/>
      <c r="K990" s="4"/>
      <c r="L990" s="38"/>
      <c r="M990" s="4"/>
      <c r="N990" s="4"/>
      <c r="O990" s="4"/>
      <c r="P990" s="4"/>
      <c r="Q990" s="4"/>
      <c r="R990" s="4"/>
      <c r="S990" s="4"/>
      <c r="T990" s="4"/>
      <c r="U990" s="4"/>
      <c r="V990" s="4"/>
      <c r="W990" s="4"/>
      <c r="X990" s="4"/>
      <c r="Y990" s="4"/>
      <c r="Z990" s="4"/>
      <c r="AA990" s="4"/>
      <c r="AB990" s="4"/>
    </row>
  </sheetData>
  <autoFilter ref="A1:U78"/>
  <customSheetViews>
    <customSheetView guid="{4F3EDC60-D519-4707-92A2-E9451517B9C7}" filter="1" showAutoFilter="1">
      <pageMargins left="0" right="0" top="0" bottom="0" header="0" footer="0"/>
      <autoFilter ref="R1:R990"/>
      <extLst>
        <ext uri="GoogleSheetsCustomDataVersion1">
          <go:sheetsCustomData xmlns:go="http://customooxmlschemas.google.com/" filterViewId="723532637"/>
        </ext>
      </extLst>
    </customSheetView>
    <customSheetView guid="{B3F5864E-582C-43A3-8441-34FB1FE3F903}" filter="1" showAutoFilter="1">
      <pageMargins left="0" right="0" top="0" bottom="0" header="0" footer="0"/>
      <autoFilter ref="A1:U78"/>
      <extLst>
        <ext uri="GoogleSheetsCustomDataVersion1">
          <go:sheetsCustomData xmlns:go="http://customooxmlschemas.google.com/" filterViewId="201628396"/>
        </ext>
      </extLst>
    </customSheetView>
    <customSheetView guid="{333F8983-2480-44CC-8AD9-8B6EEC4D2901}" filter="1" showAutoFilter="1">
      <pageMargins left="0" right="0" top="0" bottom="0" header="0" footer="0"/>
      <autoFilter ref="A1:U79"/>
      <extLst>
        <ext uri="GoogleSheetsCustomDataVersion1">
          <go:sheetsCustomData xmlns:go="http://customooxmlschemas.google.com/" filterViewId="1749866139"/>
        </ext>
      </extLst>
    </customSheetView>
  </customSheetViews>
  <conditionalFormatting sqref="D27 D42 D48:D49 D54 D60:D78">
    <cfRule type="expression" dxfId="47" priority="4">
      <formula>$CN27=TRUE</formula>
    </cfRule>
  </conditionalFormatting>
  <conditionalFormatting sqref="D27:E27 D34:E34 D37:E37 D42:E42 D48:E49 D54:E54 D60:E78">
    <cfRule type="expression" dxfId="46" priority="3">
      <formula>$CJ27=TRUE</formula>
    </cfRule>
  </conditionalFormatting>
  <conditionalFormatting sqref="D34:E34 D37:E37 E27 E42 E48:E49 E54 E60:E78">
    <cfRule type="expression" dxfId="45" priority="1">
      <formula>$CG27=TRUE</formula>
    </cfRule>
    <cfRule type="expression" dxfId="44" priority="2">
      <formula>$CF27=TRUE</formula>
    </cfRule>
  </conditionalFormatting>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0"/>
  <sheetViews>
    <sheetView showGridLines="0" workbookViewId="0"/>
  </sheetViews>
  <sheetFormatPr defaultColWidth="14.44140625" defaultRowHeight="15" customHeight="1"/>
  <cols>
    <col min="1" max="1" width="8" customWidth="1"/>
    <col min="2" max="3" width="40.6640625" customWidth="1"/>
    <col min="4" max="4" width="23" customWidth="1"/>
    <col min="5" max="6" width="15.6640625" customWidth="1"/>
    <col min="7" max="7" width="34.109375" customWidth="1"/>
    <col min="8" max="8" width="18.88671875" customWidth="1"/>
    <col min="9" max="9" width="36.6640625" customWidth="1"/>
    <col min="10" max="10" width="17.6640625" customWidth="1"/>
    <col min="11" max="11" width="11.88671875" customWidth="1"/>
    <col min="12" max="26" width="10" customWidth="1"/>
  </cols>
  <sheetData>
    <row r="1" spans="1:26" ht="17.399999999999999">
      <c r="A1" s="666"/>
      <c r="B1" s="667" t="s">
        <v>691</v>
      </c>
      <c r="C1" s="668"/>
      <c r="D1" s="668"/>
      <c r="E1" s="668"/>
      <c r="F1" s="668"/>
      <c r="G1" s="668"/>
      <c r="H1" s="39"/>
      <c r="I1" s="39"/>
      <c r="J1" s="39"/>
      <c r="K1" s="39"/>
      <c r="L1" s="39"/>
      <c r="M1" s="39"/>
      <c r="N1" s="39"/>
      <c r="O1" s="39"/>
      <c r="P1" s="39"/>
      <c r="Q1" s="39"/>
      <c r="R1" s="39"/>
      <c r="S1" s="39"/>
      <c r="T1" s="39"/>
      <c r="U1" s="39"/>
      <c r="V1" s="39"/>
      <c r="W1" s="39"/>
      <c r="X1" s="39"/>
      <c r="Y1" s="39"/>
      <c r="Z1" s="39"/>
    </row>
    <row r="2" spans="1:26" ht="15.6">
      <c r="A2" s="666"/>
      <c r="B2" s="669" t="s">
        <v>692</v>
      </c>
      <c r="C2" s="669"/>
      <c r="D2" s="670"/>
      <c r="E2" s="670"/>
      <c r="F2" s="671"/>
      <c r="G2" s="668"/>
      <c r="H2" s="39"/>
      <c r="I2" s="39"/>
      <c r="J2" s="39"/>
      <c r="K2" s="39"/>
      <c r="L2" s="39"/>
      <c r="M2" s="39"/>
      <c r="N2" s="39"/>
      <c r="O2" s="39"/>
      <c r="P2" s="39"/>
      <c r="Q2" s="39"/>
      <c r="R2" s="39"/>
      <c r="S2" s="39"/>
      <c r="T2" s="39"/>
      <c r="U2" s="39"/>
      <c r="V2" s="39"/>
      <c r="W2" s="39"/>
      <c r="X2" s="39"/>
      <c r="Y2" s="39"/>
      <c r="Z2" s="39"/>
    </row>
    <row r="3" spans="1:26" ht="15.6">
      <c r="A3" s="40" t="s">
        <v>693</v>
      </c>
      <c r="B3" s="41"/>
      <c r="C3" s="41"/>
      <c r="D3" s="41"/>
      <c r="E3" s="41"/>
      <c r="F3" s="42"/>
      <c r="G3" s="41"/>
      <c r="H3" s="39"/>
      <c r="I3" s="39"/>
      <c r="J3" s="39"/>
      <c r="K3" s="39"/>
      <c r="L3" s="39"/>
      <c r="M3" s="39"/>
      <c r="N3" s="39"/>
      <c r="O3" s="39"/>
      <c r="P3" s="39"/>
      <c r="Q3" s="39"/>
      <c r="R3" s="39"/>
      <c r="S3" s="39"/>
      <c r="T3" s="39"/>
      <c r="U3" s="39"/>
      <c r="V3" s="39"/>
      <c r="W3" s="39"/>
      <c r="X3" s="39"/>
      <c r="Y3" s="39"/>
      <c r="Z3" s="39"/>
    </row>
    <row r="4" spans="1:26" ht="27.6">
      <c r="A4" s="43" t="s">
        <v>694</v>
      </c>
      <c r="B4" s="43" t="s">
        <v>695</v>
      </c>
      <c r="C4" s="43" t="s">
        <v>696</v>
      </c>
      <c r="D4" s="43" t="s">
        <v>697</v>
      </c>
      <c r="E4" s="43" t="s">
        <v>698</v>
      </c>
      <c r="F4" s="43" t="s">
        <v>699</v>
      </c>
      <c r="G4" s="43" t="s">
        <v>700</v>
      </c>
      <c r="H4" s="39"/>
      <c r="I4" s="39"/>
      <c r="J4" s="39"/>
      <c r="K4" s="39"/>
      <c r="L4" s="39"/>
      <c r="M4" s="39"/>
      <c r="N4" s="39"/>
      <c r="O4" s="39"/>
      <c r="P4" s="39"/>
      <c r="Q4" s="39"/>
      <c r="R4" s="39"/>
      <c r="S4" s="39"/>
      <c r="T4" s="39"/>
      <c r="U4" s="39"/>
      <c r="V4" s="39"/>
      <c r="W4" s="39"/>
      <c r="X4" s="39"/>
      <c r="Y4" s="39"/>
      <c r="Z4" s="39"/>
    </row>
    <row r="5" spans="1:26" ht="15.6">
      <c r="A5" s="891" t="s">
        <v>701</v>
      </c>
      <c r="B5" s="892" t="s">
        <v>702</v>
      </c>
      <c r="C5" s="672" t="s">
        <v>703</v>
      </c>
      <c r="D5" s="673" t="s">
        <v>704</v>
      </c>
      <c r="E5" s="674">
        <v>1235</v>
      </c>
      <c r="F5" s="675" t="e" vm="1">
        <f>E5/[2]Setup!$F$49</f>
        <v>#VALUE!</v>
      </c>
      <c r="G5" s="673" t="s">
        <v>705</v>
      </c>
      <c r="H5" s="39"/>
      <c r="I5" s="39"/>
      <c r="J5" s="39"/>
      <c r="K5" s="39"/>
      <c r="L5" s="39"/>
      <c r="M5" s="39"/>
      <c r="N5" s="39"/>
      <c r="O5" s="39"/>
      <c r="P5" s="39"/>
      <c r="Q5" s="39"/>
      <c r="R5" s="39"/>
      <c r="S5" s="39"/>
      <c r="T5" s="39"/>
      <c r="U5" s="39"/>
      <c r="V5" s="39"/>
      <c r="W5" s="39"/>
      <c r="X5" s="39"/>
      <c r="Y5" s="39"/>
      <c r="Z5" s="39"/>
    </row>
    <row r="6" spans="1:26" ht="41.4">
      <c r="A6" s="888"/>
      <c r="B6" s="888"/>
      <c r="C6" s="44" t="s">
        <v>706</v>
      </c>
      <c r="D6" s="45" t="s">
        <v>707</v>
      </c>
      <c r="E6" s="46">
        <v>605</v>
      </c>
      <c r="F6" s="675" t="e" vm="1">
        <f>E6/[2]Setup!$F$49</f>
        <v>#VALUE!</v>
      </c>
      <c r="G6" s="44" t="s">
        <v>708</v>
      </c>
      <c r="H6" s="39"/>
      <c r="I6" s="39"/>
      <c r="J6" s="39"/>
      <c r="K6" s="39"/>
      <c r="L6" s="39"/>
      <c r="M6" s="39"/>
      <c r="N6" s="39"/>
      <c r="O6" s="39"/>
      <c r="P6" s="39"/>
      <c r="Q6" s="39"/>
      <c r="R6" s="39"/>
      <c r="S6" s="39"/>
      <c r="T6" s="39"/>
      <c r="U6" s="39"/>
      <c r="V6" s="39"/>
      <c r="W6" s="39"/>
      <c r="X6" s="39"/>
      <c r="Y6" s="39"/>
      <c r="Z6" s="39"/>
    </row>
    <row r="7" spans="1:26" ht="15.6">
      <c r="A7" s="888"/>
      <c r="B7" s="888"/>
      <c r="C7" s="44" t="s">
        <v>709</v>
      </c>
      <c r="D7" s="45" t="s">
        <v>707</v>
      </c>
      <c r="E7" s="46">
        <v>15000</v>
      </c>
      <c r="F7" s="675" t="e" vm="1">
        <f>E7/[2]Setup!$F$49</f>
        <v>#VALUE!</v>
      </c>
      <c r="G7" s="45" t="s">
        <v>710</v>
      </c>
      <c r="H7" s="39"/>
      <c r="I7" s="39"/>
      <c r="J7" s="39"/>
      <c r="K7" s="39"/>
      <c r="L7" s="39"/>
      <c r="M7" s="39"/>
      <c r="N7" s="39"/>
      <c r="O7" s="39"/>
      <c r="P7" s="39"/>
      <c r="Q7" s="39"/>
      <c r="R7" s="39"/>
      <c r="S7" s="39"/>
      <c r="T7" s="39"/>
      <c r="U7" s="39"/>
      <c r="V7" s="39"/>
      <c r="W7" s="39"/>
      <c r="X7" s="39"/>
      <c r="Y7" s="39"/>
      <c r="Z7" s="39"/>
    </row>
    <row r="8" spans="1:26" ht="15.6">
      <c r="A8" s="888"/>
      <c r="B8" s="888"/>
      <c r="C8" s="44" t="s">
        <v>711</v>
      </c>
      <c r="D8" s="45" t="s">
        <v>712</v>
      </c>
      <c r="E8" s="47">
        <v>1175</v>
      </c>
      <c r="F8" s="675" t="e" vm="1">
        <f>E8/[2]Setup!$F$49</f>
        <v>#VALUE!</v>
      </c>
      <c r="G8" s="48"/>
      <c r="H8" s="39"/>
      <c r="I8" s="39"/>
      <c r="J8" s="39"/>
      <c r="K8" s="39"/>
      <c r="L8" s="39"/>
      <c r="M8" s="39"/>
      <c r="N8" s="39"/>
      <c r="O8" s="39"/>
      <c r="P8" s="39"/>
      <c r="Q8" s="39"/>
      <c r="R8" s="39"/>
      <c r="S8" s="39"/>
      <c r="T8" s="39"/>
      <c r="U8" s="39"/>
      <c r="V8" s="39"/>
      <c r="W8" s="39"/>
      <c r="X8" s="39"/>
      <c r="Y8" s="39"/>
      <c r="Z8" s="39"/>
    </row>
    <row r="9" spans="1:26" ht="27.6">
      <c r="A9" s="888"/>
      <c r="B9" s="888"/>
      <c r="C9" s="44" t="s">
        <v>713</v>
      </c>
      <c r="D9" s="45" t="s">
        <v>714</v>
      </c>
      <c r="E9" s="46">
        <v>200</v>
      </c>
      <c r="F9" s="675" t="e" vm="1">
        <f>E9/[2]Setup!$F$49</f>
        <v>#VALUE!</v>
      </c>
      <c r="G9" s="45"/>
      <c r="H9" s="39"/>
      <c r="I9" s="39"/>
      <c r="J9" s="39"/>
      <c r="K9" s="39"/>
      <c r="L9" s="39"/>
      <c r="M9" s="39"/>
      <c r="N9" s="39"/>
      <c r="O9" s="39"/>
      <c r="P9" s="39"/>
      <c r="Q9" s="39"/>
      <c r="R9" s="39"/>
      <c r="S9" s="39"/>
      <c r="T9" s="39"/>
      <c r="U9" s="39"/>
      <c r="V9" s="39"/>
      <c r="W9" s="39"/>
      <c r="X9" s="39"/>
      <c r="Y9" s="39"/>
      <c r="Z9" s="39"/>
    </row>
    <row r="10" spans="1:26" ht="15.6">
      <c r="A10" s="888"/>
      <c r="B10" s="888"/>
      <c r="C10" s="44" t="s">
        <v>715</v>
      </c>
      <c r="D10" s="45" t="s">
        <v>716</v>
      </c>
      <c r="E10" s="47">
        <v>95000</v>
      </c>
      <c r="F10" s="675" t="e" vm="1">
        <f>E10/[2]Setup!$F$49</f>
        <v>#VALUE!</v>
      </c>
      <c r="G10" s="45"/>
      <c r="H10" s="39"/>
      <c r="I10" s="39"/>
      <c r="J10" s="39"/>
      <c r="K10" s="39"/>
      <c r="L10" s="39"/>
      <c r="M10" s="39"/>
      <c r="N10" s="39"/>
      <c r="O10" s="39"/>
      <c r="P10" s="39"/>
      <c r="Q10" s="39"/>
      <c r="R10" s="39"/>
      <c r="S10" s="39"/>
      <c r="T10" s="39"/>
      <c r="U10" s="39"/>
      <c r="V10" s="39"/>
      <c r="W10" s="39"/>
      <c r="X10" s="39"/>
      <c r="Y10" s="39"/>
      <c r="Z10" s="39"/>
    </row>
    <row r="11" spans="1:26" ht="15.6">
      <c r="A11" s="888"/>
      <c r="B11" s="889"/>
      <c r="C11" s="49" t="s">
        <v>717</v>
      </c>
      <c r="D11" s="50" t="s">
        <v>716</v>
      </c>
      <c r="E11" s="51">
        <v>0.1</v>
      </c>
      <c r="F11" s="52" t="e" vm="1">
        <f>E11/[2]Setup!$F$49</f>
        <v>#VALUE!</v>
      </c>
      <c r="G11" s="50"/>
      <c r="H11" s="39"/>
      <c r="I11" s="39"/>
      <c r="J11" s="39"/>
      <c r="K11" s="39"/>
      <c r="L11" s="39"/>
      <c r="M11" s="39"/>
      <c r="N11" s="39"/>
      <c r="O11" s="39"/>
      <c r="P11" s="39"/>
      <c r="Q11" s="39"/>
      <c r="R11" s="39"/>
      <c r="S11" s="39"/>
      <c r="T11" s="39"/>
      <c r="U11" s="39"/>
      <c r="V11" s="39"/>
      <c r="W11" s="39"/>
      <c r="X11" s="39"/>
      <c r="Y11" s="39"/>
      <c r="Z11" s="39"/>
    </row>
    <row r="12" spans="1:26" ht="15.6">
      <c r="A12" s="888"/>
      <c r="B12" s="890" t="s">
        <v>718</v>
      </c>
      <c r="C12" s="672" t="str">
        <f t="shared" ref="C12:D12" si="0">C5</f>
        <v>Travel (from/to Kiev to/from regions)</v>
      </c>
      <c r="D12" s="673" t="str">
        <f t="shared" si="0"/>
        <v>round trip</v>
      </c>
      <c r="E12" s="674">
        <v>1235</v>
      </c>
      <c r="F12" s="675" t="e" vm="1">
        <f>E12/[2]Setup!$F$49</f>
        <v>#VALUE!</v>
      </c>
      <c r="G12" s="673" t="str">
        <f>G5</f>
        <v>actual</v>
      </c>
      <c r="H12" s="39"/>
      <c r="I12" s="39"/>
      <c r="J12" s="39"/>
      <c r="K12" s="39"/>
      <c r="L12" s="39"/>
      <c r="M12" s="39"/>
      <c r="N12" s="39"/>
      <c r="O12" s="39"/>
      <c r="P12" s="39"/>
      <c r="Q12" s="39"/>
      <c r="R12" s="39"/>
      <c r="S12" s="39"/>
      <c r="T12" s="39"/>
      <c r="U12" s="39"/>
      <c r="V12" s="39"/>
      <c r="W12" s="39"/>
      <c r="X12" s="39"/>
      <c r="Y12" s="39"/>
      <c r="Z12" s="39"/>
    </row>
    <row r="13" spans="1:26" ht="15.6">
      <c r="A13" s="888"/>
      <c r="B13" s="888"/>
      <c r="C13" s="44" t="s">
        <v>719</v>
      </c>
      <c r="D13" s="45" t="s">
        <v>720</v>
      </c>
      <c r="E13" s="47">
        <f>E33</f>
        <v>3334</v>
      </c>
      <c r="F13" s="675" t="e" vm="1">
        <f>E13/[2]Setup!$F$49</f>
        <v>#VALUE!</v>
      </c>
      <c r="G13" s="45" t="s">
        <v>721</v>
      </c>
      <c r="H13" s="39"/>
      <c r="I13" s="39"/>
      <c r="J13" s="39"/>
      <c r="K13" s="39"/>
      <c r="L13" s="39"/>
      <c r="M13" s="39"/>
      <c r="N13" s="39"/>
      <c r="O13" s="39"/>
      <c r="P13" s="39"/>
      <c r="Q13" s="39"/>
      <c r="R13" s="39"/>
      <c r="S13" s="39"/>
      <c r="T13" s="39"/>
      <c r="U13" s="39"/>
      <c r="V13" s="39"/>
      <c r="W13" s="39"/>
      <c r="X13" s="39"/>
      <c r="Y13" s="39"/>
      <c r="Z13" s="39"/>
    </row>
    <row r="14" spans="1:26" ht="27.6">
      <c r="A14" s="888"/>
      <c r="B14" s="888"/>
      <c r="C14" s="44" t="s">
        <v>706</v>
      </c>
      <c r="D14" s="45" t="s">
        <v>707</v>
      </c>
      <c r="E14" s="46">
        <v>300</v>
      </c>
      <c r="F14" s="675" t="e" vm="1">
        <f>E14/[2]Setup!$F$49</f>
        <v>#VALUE!</v>
      </c>
      <c r="G14" s="44" t="s">
        <v>722</v>
      </c>
      <c r="H14" s="39"/>
      <c r="I14" s="39"/>
      <c r="J14" s="39"/>
      <c r="K14" s="39"/>
      <c r="L14" s="39"/>
      <c r="M14" s="39"/>
      <c r="N14" s="39"/>
      <c r="O14" s="39"/>
      <c r="P14" s="39"/>
      <c r="Q14" s="39"/>
      <c r="R14" s="39"/>
      <c r="S14" s="39"/>
      <c r="T14" s="39"/>
      <c r="U14" s="39"/>
      <c r="V14" s="39"/>
      <c r="W14" s="39"/>
      <c r="X14" s="39"/>
      <c r="Y14" s="39"/>
      <c r="Z14" s="39"/>
    </row>
    <row r="15" spans="1:26" ht="15.6">
      <c r="A15" s="888"/>
      <c r="B15" s="888"/>
      <c r="C15" s="44" t="s">
        <v>723</v>
      </c>
      <c r="D15" s="45" t="s">
        <v>707</v>
      </c>
      <c r="E15" s="46">
        <v>6500</v>
      </c>
      <c r="F15" s="675" t="e" vm="1">
        <f>E15/[2]Setup!$F$49</f>
        <v>#VALUE!</v>
      </c>
      <c r="G15" s="45" t="s">
        <v>724</v>
      </c>
      <c r="H15" s="39"/>
      <c r="I15" s="39"/>
      <c r="J15" s="39"/>
      <c r="K15" s="39"/>
      <c r="L15" s="39"/>
      <c r="M15" s="39"/>
      <c r="N15" s="39"/>
      <c r="O15" s="39"/>
      <c r="P15" s="39"/>
      <c r="Q15" s="39"/>
      <c r="R15" s="39"/>
      <c r="S15" s="39"/>
      <c r="T15" s="39"/>
      <c r="U15" s="39"/>
      <c r="V15" s="39"/>
      <c r="W15" s="39"/>
      <c r="X15" s="39"/>
      <c r="Y15" s="39"/>
      <c r="Z15" s="39"/>
    </row>
    <row r="16" spans="1:26" ht="15.6">
      <c r="A16" s="888"/>
      <c r="B16" s="888"/>
      <c r="C16" s="44" t="s">
        <v>711</v>
      </c>
      <c r="D16" s="45" t="s">
        <v>712</v>
      </c>
      <c r="E16" s="47">
        <v>1175</v>
      </c>
      <c r="F16" s="675" t="e" vm="1">
        <f>E16/[2]Setup!$F$49</f>
        <v>#VALUE!</v>
      </c>
      <c r="G16" s="45" t="s">
        <v>724</v>
      </c>
      <c r="H16" s="39"/>
      <c r="I16" s="39"/>
      <c r="J16" s="39"/>
      <c r="K16" s="39"/>
      <c r="L16" s="39"/>
      <c r="M16" s="39"/>
      <c r="N16" s="39"/>
      <c r="O16" s="39"/>
      <c r="P16" s="39"/>
      <c r="Q16" s="39"/>
      <c r="R16" s="39"/>
      <c r="S16" s="39"/>
      <c r="T16" s="39"/>
      <c r="U16" s="39"/>
      <c r="V16" s="39"/>
      <c r="W16" s="39"/>
      <c r="X16" s="39"/>
      <c r="Y16" s="39"/>
      <c r="Z16" s="39"/>
    </row>
    <row r="17" spans="1:26" ht="27.6">
      <c r="A17" s="888"/>
      <c r="B17" s="888"/>
      <c r="C17" s="44" t="s">
        <v>725</v>
      </c>
      <c r="D17" s="45" t="s">
        <v>714</v>
      </c>
      <c r="E17" s="46">
        <v>100</v>
      </c>
      <c r="F17" s="675" t="e" vm="1">
        <f>E17/[2]Setup!$F$49</f>
        <v>#VALUE!</v>
      </c>
      <c r="G17" s="45" t="s">
        <v>724</v>
      </c>
      <c r="H17" s="39"/>
      <c r="I17" s="39"/>
      <c r="J17" s="39"/>
      <c r="K17" s="39"/>
      <c r="L17" s="39"/>
      <c r="M17" s="39"/>
      <c r="N17" s="39"/>
      <c r="O17" s="39"/>
      <c r="P17" s="39"/>
      <c r="Q17" s="39"/>
      <c r="R17" s="39"/>
      <c r="S17" s="39"/>
      <c r="T17" s="39"/>
      <c r="U17" s="39"/>
      <c r="V17" s="39"/>
      <c r="W17" s="39"/>
      <c r="X17" s="39"/>
      <c r="Y17" s="39"/>
      <c r="Z17" s="39"/>
    </row>
    <row r="18" spans="1:26" ht="15.6">
      <c r="A18" s="889"/>
      <c r="B18" s="889"/>
      <c r="C18" s="49" t="s">
        <v>717</v>
      </c>
      <c r="D18" s="50" t="s">
        <v>716</v>
      </c>
      <c r="E18" s="51">
        <v>0.1</v>
      </c>
      <c r="F18" s="52" t="e" vm="1">
        <f>E18/[2]Setup!$F$49</f>
        <v>#VALUE!</v>
      </c>
      <c r="G18" s="50"/>
      <c r="H18" s="39"/>
      <c r="I18" s="39"/>
      <c r="J18" s="39"/>
      <c r="K18" s="39"/>
      <c r="L18" s="39"/>
      <c r="M18" s="39"/>
      <c r="N18" s="39"/>
      <c r="O18" s="39"/>
      <c r="P18" s="39"/>
      <c r="Q18" s="39"/>
      <c r="R18" s="39"/>
      <c r="S18" s="39"/>
      <c r="T18" s="39"/>
      <c r="U18" s="39"/>
      <c r="V18" s="39"/>
      <c r="W18" s="39"/>
      <c r="X18" s="39"/>
      <c r="Y18" s="39"/>
      <c r="Z18" s="39"/>
    </row>
    <row r="19" spans="1:26" ht="15.6">
      <c r="A19" s="893" t="s">
        <v>726</v>
      </c>
      <c r="B19" s="890" t="s">
        <v>727</v>
      </c>
      <c r="C19" s="672" t="s">
        <v>728</v>
      </c>
      <c r="D19" s="673" t="s">
        <v>704</v>
      </c>
      <c r="E19" s="674">
        <v>12000</v>
      </c>
      <c r="F19" s="675" t="e" vm="1">
        <f>E19/[2]Setup!$F$49</f>
        <v>#VALUE!</v>
      </c>
      <c r="G19" s="673"/>
      <c r="H19" s="39"/>
      <c r="I19" s="39"/>
      <c r="J19" s="39"/>
      <c r="K19" s="39"/>
      <c r="L19" s="39"/>
      <c r="M19" s="39"/>
      <c r="N19" s="39"/>
      <c r="O19" s="39"/>
      <c r="P19" s="39"/>
      <c r="Q19" s="39"/>
      <c r="R19" s="39"/>
      <c r="S19" s="39"/>
      <c r="T19" s="39"/>
      <c r="U19" s="39"/>
      <c r="V19" s="39"/>
      <c r="W19" s="39"/>
      <c r="X19" s="39"/>
      <c r="Y19" s="39"/>
      <c r="Z19" s="39"/>
    </row>
    <row r="20" spans="1:26" ht="27.6">
      <c r="A20" s="888"/>
      <c r="B20" s="888"/>
      <c r="C20" s="44" t="s">
        <v>729</v>
      </c>
      <c r="D20" s="45" t="s">
        <v>730</v>
      </c>
      <c r="E20" s="47">
        <v>2500</v>
      </c>
      <c r="F20" s="675" t="e" vm="1">
        <f>E20/[2]Setup!$F$49</f>
        <v>#VALUE!</v>
      </c>
      <c r="G20" s="45"/>
      <c r="H20" s="39"/>
      <c r="I20" s="39"/>
      <c r="J20" s="39"/>
      <c r="K20" s="39"/>
      <c r="L20" s="39"/>
      <c r="M20" s="39"/>
      <c r="N20" s="39"/>
      <c r="O20" s="39"/>
      <c r="P20" s="39"/>
      <c r="Q20" s="39"/>
      <c r="R20" s="39"/>
      <c r="S20" s="39"/>
      <c r="T20" s="39"/>
      <c r="U20" s="39"/>
      <c r="V20" s="39"/>
      <c r="W20" s="39"/>
      <c r="X20" s="39"/>
      <c r="Y20" s="39"/>
      <c r="Z20" s="39"/>
    </row>
    <row r="21" spans="1:26" ht="15.75" customHeight="1">
      <c r="A21" s="888"/>
      <c r="B21" s="888"/>
      <c r="C21" s="44" t="s">
        <v>731</v>
      </c>
      <c r="D21" s="45" t="s">
        <v>712</v>
      </c>
      <c r="E21" s="47">
        <v>2300</v>
      </c>
      <c r="F21" s="675" t="e" vm="1">
        <f>E21/[2]Setup!$F$49</f>
        <v>#VALUE!</v>
      </c>
      <c r="G21" s="45"/>
      <c r="H21" s="39"/>
      <c r="I21" s="39"/>
      <c r="J21" s="39"/>
      <c r="K21" s="39"/>
      <c r="L21" s="39"/>
      <c r="M21" s="39"/>
      <c r="N21" s="39"/>
      <c r="O21" s="39"/>
      <c r="P21" s="39"/>
      <c r="Q21" s="39"/>
      <c r="R21" s="39"/>
      <c r="S21" s="39"/>
      <c r="T21" s="39"/>
      <c r="U21" s="39"/>
      <c r="V21" s="39"/>
      <c r="W21" s="39"/>
      <c r="X21" s="39"/>
      <c r="Y21" s="39"/>
      <c r="Z21" s="39"/>
    </row>
    <row r="22" spans="1:26" ht="15.75" customHeight="1">
      <c r="A22" s="888"/>
      <c r="B22" s="888"/>
      <c r="C22" s="44" t="s">
        <v>732</v>
      </c>
      <c r="D22" s="45" t="s">
        <v>720</v>
      </c>
      <c r="E22" s="46">
        <v>1795</v>
      </c>
      <c r="F22" s="675" t="e" vm="1">
        <f>E22/[2]Setup!$F$49</f>
        <v>#VALUE!</v>
      </c>
      <c r="G22" s="45" t="s">
        <v>705</v>
      </c>
      <c r="H22" s="39"/>
      <c r="I22" s="39"/>
      <c r="J22" s="39"/>
      <c r="K22" s="39"/>
      <c r="L22" s="39"/>
      <c r="M22" s="39"/>
      <c r="N22" s="39"/>
      <c r="O22" s="39"/>
      <c r="P22" s="39"/>
      <c r="Q22" s="39"/>
      <c r="R22" s="39"/>
      <c r="S22" s="39"/>
      <c r="T22" s="39"/>
      <c r="U22" s="39"/>
      <c r="V22" s="39"/>
      <c r="W22" s="39"/>
      <c r="X22" s="39"/>
      <c r="Y22" s="39"/>
      <c r="Z22" s="39"/>
    </row>
    <row r="23" spans="1:26" ht="15.75" customHeight="1">
      <c r="A23" s="888"/>
      <c r="B23" s="888"/>
      <c r="C23" s="44" t="s">
        <v>733</v>
      </c>
      <c r="D23" s="45" t="s">
        <v>734</v>
      </c>
      <c r="E23" s="47">
        <v>13000</v>
      </c>
      <c r="F23" s="675" t="e" vm="1">
        <f>E23/[2]Setup!$F$49</f>
        <v>#VALUE!</v>
      </c>
      <c r="G23" s="45"/>
      <c r="H23" s="39"/>
      <c r="I23" s="39"/>
      <c r="J23" s="39"/>
      <c r="K23" s="39"/>
      <c r="L23" s="39"/>
      <c r="M23" s="39"/>
      <c r="N23" s="39"/>
      <c r="O23" s="39"/>
      <c r="P23" s="39"/>
      <c r="Q23" s="39"/>
      <c r="R23" s="39"/>
      <c r="S23" s="39"/>
      <c r="T23" s="39"/>
      <c r="U23" s="39"/>
      <c r="V23" s="39"/>
      <c r="W23" s="39"/>
      <c r="X23" s="39"/>
      <c r="Y23" s="39"/>
      <c r="Z23" s="39"/>
    </row>
    <row r="24" spans="1:26" ht="15.75" customHeight="1">
      <c r="A24" s="889"/>
      <c r="B24" s="889"/>
      <c r="C24" s="49" t="s">
        <v>735</v>
      </c>
      <c r="D24" s="50" t="s">
        <v>716</v>
      </c>
      <c r="E24" s="51">
        <v>0.1</v>
      </c>
      <c r="F24" s="52" t="e" vm="1">
        <f>E24/[2]Setup!$F$49</f>
        <v>#VALUE!</v>
      </c>
      <c r="G24" s="50"/>
      <c r="H24" s="39"/>
      <c r="I24" s="39"/>
      <c r="J24" s="39"/>
      <c r="K24" s="39"/>
      <c r="L24" s="39"/>
      <c r="M24" s="39"/>
      <c r="N24" s="39"/>
      <c r="O24" s="39"/>
      <c r="P24" s="39"/>
      <c r="Q24" s="39"/>
      <c r="R24" s="39"/>
      <c r="S24" s="39"/>
      <c r="T24" s="39"/>
      <c r="U24" s="39"/>
      <c r="V24" s="39"/>
      <c r="W24" s="39"/>
      <c r="X24" s="39"/>
      <c r="Y24" s="39"/>
      <c r="Z24" s="39"/>
    </row>
    <row r="25" spans="1:26" ht="15.75" customHeight="1">
      <c r="A25" s="887" t="s">
        <v>736</v>
      </c>
      <c r="B25" s="890" t="s">
        <v>737</v>
      </c>
      <c r="C25" s="672" t="s">
        <v>731</v>
      </c>
      <c r="D25" s="673" t="s">
        <v>712</v>
      </c>
      <c r="E25" s="674">
        <v>1175</v>
      </c>
      <c r="F25" s="675" t="e" vm="1">
        <f>E25/[2]Setup!$F$49</f>
        <v>#VALUE!</v>
      </c>
      <c r="G25" s="673" t="s">
        <v>738</v>
      </c>
      <c r="H25" s="39"/>
      <c r="I25" s="39"/>
      <c r="J25" s="39"/>
      <c r="K25" s="39"/>
      <c r="L25" s="39"/>
      <c r="M25" s="39"/>
      <c r="N25" s="39"/>
      <c r="O25" s="39"/>
      <c r="P25" s="39"/>
      <c r="Q25" s="39"/>
      <c r="R25" s="39"/>
      <c r="S25" s="39"/>
      <c r="T25" s="39"/>
      <c r="U25" s="39"/>
      <c r="V25" s="39"/>
      <c r="W25" s="39"/>
      <c r="X25" s="39"/>
      <c r="Y25" s="39"/>
      <c r="Z25" s="39"/>
    </row>
    <row r="26" spans="1:26" ht="15.75" customHeight="1">
      <c r="A26" s="888"/>
      <c r="B26" s="888"/>
      <c r="C26" s="44" t="s">
        <v>732</v>
      </c>
      <c r="D26" s="45" t="s">
        <v>720</v>
      </c>
      <c r="E26" s="47">
        <v>350</v>
      </c>
      <c r="F26" s="675" t="e" vm="1">
        <f>E26/[2]Setup!$F$49</f>
        <v>#VALUE!</v>
      </c>
      <c r="G26" s="45" t="s">
        <v>705</v>
      </c>
      <c r="H26" s="39"/>
      <c r="I26" s="39"/>
      <c r="J26" s="39"/>
      <c r="K26" s="39"/>
      <c r="L26" s="39"/>
      <c r="M26" s="39"/>
      <c r="N26" s="39"/>
      <c r="O26" s="39"/>
      <c r="P26" s="39"/>
      <c r="Q26" s="39"/>
      <c r="R26" s="39"/>
      <c r="S26" s="39"/>
      <c r="T26" s="39"/>
      <c r="U26" s="39"/>
      <c r="V26" s="39"/>
      <c r="W26" s="39"/>
      <c r="X26" s="39"/>
      <c r="Y26" s="39"/>
      <c r="Z26" s="39"/>
    </row>
    <row r="27" spans="1:26" ht="15.75" customHeight="1">
      <c r="A27" s="888"/>
      <c r="B27" s="889"/>
      <c r="C27" s="49" t="str">
        <f t="shared" ref="C27:D27" si="1">C5</f>
        <v>Travel (from/to Kiev to/from regions)</v>
      </c>
      <c r="D27" s="50" t="str">
        <f t="shared" si="1"/>
        <v>round trip</v>
      </c>
      <c r="E27" s="53">
        <v>1235</v>
      </c>
      <c r="F27" s="52" t="e" vm="1">
        <f>E27/[2]Setup!$F$49</f>
        <v>#VALUE!</v>
      </c>
      <c r="G27" s="50" t="str">
        <f>G5</f>
        <v>actual</v>
      </c>
      <c r="H27" s="39"/>
      <c r="I27" s="39"/>
      <c r="J27" s="39"/>
      <c r="K27" s="39"/>
      <c r="L27" s="39"/>
      <c r="M27" s="39"/>
      <c r="N27" s="39"/>
      <c r="O27" s="39"/>
      <c r="P27" s="39"/>
      <c r="Q27" s="39"/>
      <c r="R27" s="39"/>
      <c r="S27" s="39"/>
      <c r="T27" s="39"/>
      <c r="U27" s="39"/>
      <c r="V27" s="39"/>
      <c r="W27" s="39"/>
      <c r="X27" s="39"/>
      <c r="Y27" s="39"/>
      <c r="Z27" s="39"/>
    </row>
    <row r="28" spans="1:26" ht="15.75" customHeight="1">
      <c r="A28" s="888"/>
      <c r="B28" s="890" t="s">
        <v>739</v>
      </c>
      <c r="C28" s="672" t="s">
        <v>740</v>
      </c>
      <c r="D28" s="673" t="s">
        <v>720</v>
      </c>
      <c r="E28" s="54" t="e" vm="1">
        <f>500*[2]Setup!$F$49</f>
        <v>#VALUE!</v>
      </c>
      <c r="F28" s="675" t="e" vm="2">
        <f>E28/[2]Setup!$F$49</f>
        <v>#VALUE!</v>
      </c>
      <c r="G28" s="673" t="s">
        <v>741</v>
      </c>
      <c r="H28" s="39"/>
      <c r="I28" s="39"/>
      <c r="J28" s="39"/>
      <c r="K28" s="39"/>
      <c r="L28" s="39"/>
      <c r="M28" s="39"/>
      <c r="N28" s="39"/>
      <c r="O28" s="39"/>
      <c r="P28" s="39"/>
      <c r="Q28" s="39"/>
      <c r="R28" s="39"/>
      <c r="S28" s="39"/>
      <c r="T28" s="39"/>
      <c r="U28" s="39"/>
      <c r="V28" s="39"/>
      <c r="W28" s="39"/>
      <c r="X28" s="39"/>
      <c r="Y28" s="39"/>
      <c r="Z28" s="39"/>
    </row>
    <row r="29" spans="1:26" ht="15.75" customHeight="1">
      <c r="A29" s="888"/>
      <c r="B29" s="888"/>
      <c r="C29" s="44" t="s">
        <v>742</v>
      </c>
      <c r="D29" s="45" t="s">
        <v>704</v>
      </c>
      <c r="E29" s="47">
        <v>11830.369000000001</v>
      </c>
      <c r="F29" s="675" t="e" vm="1">
        <f>E29/[2]Setup!$F$49</f>
        <v>#VALUE!</v>
      </c>
      <c r="G29" s="45"/>
      <c r="H29" s="39"/>
      <c r="I29" s="39"/>
      <c r="J29" s="39"/>
      <c r="K29" s="39"/>
      <c r="L29" s="39"/>
      <c r="M29" s="39"/>
      <c r="N29" s="39"/>
      <c r="O29" s="39"/>
      <c r="P29" s="39"/>
      <c r="Q29" s="39"/>
      <c r="R29" s="39"/>
      <c r="S29" s="39"/>
      <c r="T29" s="39"/>
      <c r="U29" s="39"/>
      <c r="V29" s="39"/>
      <c r="W29" s="39"/>
      <c r="X29" s="39"/>
      <c r="Y29" s="39"/>
      <c r="Z29" s="39"/>
    </row>
    <row r="30" spans="1:26" ht="15.75" customHeight="1">
      <c r="A30" s="888"/>
      <c r="B30" s="889"/>
      <c r="C30" s="49" t="s">
        <v>743</v>
      </c>
      <c r="D30" s="50" t="s">
        <v>720</v>
      </c>
      <c r="E30" s="53">
        <v>5656.8795</v>
      </c>
      <c r="F30" s="52" t="e" vm="1">
        <f>E30/[2]Setup!$F$49</f>
        <v>#VALUE!</v>
      </c>
      <c r="G30" s="55"/>
      <c r="H30" s="39"/>
      <c r="I30" s="39"/>
      <c r="J30" s="39"/>
      <c r="K30" s="39"/>
      <c r="L30" s="39"/>
      <c r="M30" s="39"/>
      <c r="N30" s="39"/>
      <c r="O30" s="39"/>
      <c r="P30" s="39"/>
      <c r="Q30" s="39"/>
      <c r="R30" s="39"/>
      <c r="S30" s="39"/>
      <c r="T30" s="39"/>
      <c r="U30" s="39"/>
      <c r="V30" s="39"/>
      <c r="W30" s="39"/>
      <c r="X30" s="39"/>
      <c r="Y30" s="39"/>
      <c r="Z30" s="39"/>
    </row>
    <row r="31" spans="1:26" ht="15.75" customHeight="1">
      <c r="A31" s="888"/>
      <c r="B31" s="676" t="s">
        <v>744</v>
      </c>
      <c r="C31" s="672" t="s">
        <v>745</v>
      </c>
      <c r="D31" s="673" t="s">
        <v>716</v>
      </c>
      <c r="E31" s="674">
        <v>10000</v>
      </c>
      <c r="F31" s="675" t="e" vm="1">
        <f>E31/[2]Setup!$F$49</f>
        <v>#VALUE!</v>
      </c>
      <c r="G31" s="677"/>
      <c r="H31" s="39"/>
      <c r="I31" s="39"/>
      <c r="J31" s="39"/>
      <c r="K31" s="39"/>
      <c r="L31" s="39"/>
      <c r="M31" s="39"/>
      <c r="N31" s="39"/>
      <c r="O31" s="39"/>
      <c r="P31" s="39"/>
      <c r="Q31" s="39"/>
      <c r="R31" s="39"/>
      <c r="S31" s="39"/>
      <c r="T31" s="39"/>
      <c r="U31" s="39"/>
      <c r="V31" s="39"/>
      <c r="W31" s="39"/>
      <c r="X31" s="39"/>
      <c r="Y31" s="39"/>
      <c r="Z31" s="39"/>
    </row>
    <row r="32" spans="1:26" ht="15.75" customHeight="1">
      <c r="A32" s="888"/>
      <c r="B32" s="56" t="s">
        <v>746</v>
      </c>
      <c r="C32" s="44" t="str">
        <f>B32</f>
        <v>Cost of working group meeting</v>
      </c>
      <c r="D32" s="45" t="s">
        <v>714</v>
      </c>
      <c r="E32" s="47">
        <v>350</v>
      </c>
      <c r="F32" s="675" t="e" vm="1">
        <f>E32/[2]Setup!$F$49</f>
        <v>#VALUE!</v>
      </c>
      <c r="G32" s="678"/>
      <c r="H32" s="39"/>
      <c r="I32" s="39"/>
      <c r="J32" s="39"/>
      <c r="K32" s="39"/>
      <c r="L32" s="39"/>
      <c r="M32" s="39"/>
      <c r="N32" s="39"/>
      <c r="O32" s="39"/>
      <c r="P32" s="39"/>
      <c r="Q32" s="39"/>
      <c r="R32" s="39"/>
      <c r="S32" s="39"/>
      <c r="T32" s="39"/>
      <c r="U32" s="39"/>
      <c r="V32" s="39"/>
      <c r="W32" s="39"/>
      <c r="X32" s="39"/>
      <c r="Y32" s="39"/>
      <c r="Z32" s="39"/>
    </row>
    <row r="33" spans="1:26" ht="15.75" customHeight="1">
      <c r="A33" s="889"/>
      <c r="B33" s="49" t="s">
        <v>747</v>
      </c>
      <c r="C33" s="49" t="s">
        <v>748</v>
      </c>
      <c r="D33" s="50" t="s">
        <v>720</v>
      </c>
      <c r="E33" s="53">
        <v>3334</v>
      </c>
      <c r="F33" s="52" t="e" vm="1">
        <f>E33/[2]Setup!$F$49</f>
        <v>#VALUE!</v>
      </c>
      <c r="G33" s="57"/>
      <c r="H33" s="39"/>
      <c r="I33" s="39"/>
      <c r="J33" s="39"/>
      <c r="K33" s="39"/>
      <c r="L33" s="39"/>
      <c r="M33" s="39"/>
      <c r="N33" s="39"/>
      <c r="O33" s="39"/>
      <c r="P33" s="39"/>
      <c r="Q33" s="39"/>
      <c r="R33" s="39"/>
      <c r="S33" s="39"/>
      <c r="T33" s="39"/>
      <c r="U33" s="39"/>
      <c r="V33" s="39"/>
      <c r="W33" s="39"/>
      <c r="X33" s="39"/>
      <c r="Y33" s="39"/>
      <c r="Z33" s="39"/>
    </row>
    <row r="34" spans="1:26" ht="15.75" customHeight="1">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5.75" customHeight="1">
      <c r="A35" s="58"/>
      <c r="B35" s="59"/>
      <c r="C35" s="60"/>
      <c r="D35" s="60"/>
      <c r="E35" s="60"/>
      <c r="F35" s="61"/>
      <c r="G35" s="62"/>
      <c r="H35" s="63"/>
      <c r="I35" s="64"/>
      <c r="J35" s="64"/>
      <c r="K35" s="39"/>
      <c r="L35" s="39"/>
      <c r="M35" s="39"/>
      <c r="N35" s="39"/>
      <c r="O35" s="39"/>
      <c r="P35" s="39"/>
      <c r="Q35" s="39"/>
      <c r="R35" s="39"/>
      <c r="S35" s="39"/>
      <c r="T35" s="39"/>
      <c r="U35" s="39"/>
      <c r="V35" s="39"/>
      <c r="W35" s="39"/>
      <c r="X35" s="39"/>
      <c r="Y35" s="39"/>
      <c r="Z35" s="39"/>
    </row>
    <row r="36" spans="1:26" ht="15.7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5.75" customHeight="1">
      <c r="A37" s="679"/>
      <c r="B37" s="680" t="s">
        <v>691</v>
      </c>
      <c r="C37" s="681"/>
      <c r="D37" s="681"/>
      <c r="E37" s="681"/>
      <c r="F37" s="681"/>
      <c r="G37" s="681"/>
      <c r="H37" s="681"/>
      <c r="I37" s="681"/>
      <c r="J37" s="681"/>
      <c r="K37" s="39"/>
      <c r="L37" s="39"/>
      <c r="M37" s="39"/>
      <c r="N37" s="39"/>
      <c r="O37" s="39"/>
      <c r="P37" s="39"/>
      <c r="Q37" s="39"/>
      <c r="R37" s="39"/>
      <c r="S37" s="39"/>
      <c r="T37" s="39"/>
      <c r="U37" s="39"/>
      <c r="V37" s="39"/>
      <c r="W37" s="39"/>
      <c r="X37" s="39"/>
      <c r="Y37" s="39"/>
      <c r="Z37" s="39"/>
    </row>
    <row r="38" spans="1:26" ht="15.75" customHeight="1">
      <c r="A38" s="679"/>
      <c r="B38" s="682" t="s">
        <v>749</v>
      </c>
      <c r="C38" s="681"/>
      <c r="D38" s="681"/>
      <c r="E38" s="681"/>
      <c r="F38" s="681"/>
      <c r="G38" s="681"/>
      <c r="H38" s="681"/>
      <c r="I38" s="681"/>
      <c r="J38" s="681"/>
      <c r="K38" s="39"/>
      <c r="L38" s="39"/>
      <c r="M38" s="39"/>
      <c r="N38" s="39"/>
      <c r="O38" s="39"/>
      <c r="P38" s="39"/>
      <c r="Q38" s="39"/>
      <c r="R38" s="39"/>
      <c r="S38" s="39"/>
      <c r="T38" s="39"/>
      <c r="U38" s="39"/>
      <c r="V38" s="39"/>
      <c r="W38" s="39"/>
      <c r="X38" s="39"/>
      <c r="Y38" s="39"/>
      <c r="Z38" s="39"/>
    </row>
    <row r="39" spans="1:26" ht="15.75" customHeight="1">
      <c r="A39" s="59"/>
      <c r="B39" s="65"/>
      <c r="C39" s="61"/>
      <c r="D39" s="61"/>
      <c r="E39" s="61"/>
      <c r="F39" s="61"/>
      <c r="G39" s="61"/>
      <c r="H39" s="39"/>
      <c r="I39" s="39"/>
      <c r="J39" s="61"/>
      <c r="K39" s="39"/>
      <c r="L39" s="39"/>
      <c r="M39" s="39"/>
      <c r="N39" s="39"/>
      <c r="O39" s="39"/>
      <c r="P39" s="39"/>
      <c r="Q39" s="39"/>
      <c r="R39" s="39"/>
      <c r="S39" s="39"/>
      <c r="T39" s="39"/>
      <c r="U39" s="39"/>
      <c r="V39" s="39"/>
      <c r="W39" s="39"/>
      <c r="X39" s="39"/>
      <c r="Y39" s="39"/>
      <c r="Z39" s="39"/>
    </row>
    <row r="40" spans="1:26" ht="15.75" customHeight="1">
      <c r="A40" s="61"/>
      <c r="B40" s="61"/>
      <c r="C40" s="61"/>
      <c r="D40" s="61"/>
      <c r="E40" s="61"/>
      <c r="F40" s="61"/>
      <c r="G40" s="61"/>
      <c r="H40" s="66"/>
      <c r="I40" s="66"/>
      <c r="J40" s="61"/>
      <c r="K40" s="39"/>
      <c r="L40" s="39"/>
      <c r="M40" s="39"/>
      <c r="N40" s="39"/>
      <c r="O40" s="39"/>
      <c r="P40" s="39"/>
      <c r="Q40" s="39"/>
      <c r="R40" s="39"/>
      <c r="S40" s="39"/>
      <c r="T40" s="39"/>
      <c r="U40" s="39"/>
      <c r="V40" s="39"/>
      <c r="W40" s="39"/>
      <c r="X40" s="39"/>
      <c r="Y40" s="39"/>
      <c r="Z40" s="39"/>
    </row>
    <row r="41" spans="1:26" ht="15.75" customHeight="1">
      <c r="A41" s="683" t="s">
        <v>750</v>
      </c>
      <c r="B41" s="684" t="str">
        <f>"Training/round table/seminar ("&amp;B44&amp;"-day event)"</f>
        <v>Training/round table/seminar (3-day event)</v>
      </c>
      <c r="C41" s="683"/>
      <c r="D41" s="683"/>
      <c r="E41" s="683"/>
      <c r="F41" s="683"/>
      <c r="G41" s="683"/>
      <c r="H41" s="683"/>
      <c r="I41" s="683"/>
      <c r="J41" s="683"/>
      <c r="K41" s="39"/>
      <c r="L41" s="39"/>
      <c r="M41" s="39"/>
      <c r="N41" s="39"/>
      <c r="O41" s="39"/>
      <c r="P41" s="39"/>
      <c r="Q41" s="39"/>
      <c r="R41" s="39"/>
      <c r="S41" s="39"/>
      <c r="T41" s="39"/>
      <c r="U41" s="39"/>
      <c r="V41" s="39"/>
      <c r="W41" s="39"/>
      <c r="X41" s="39"/>
      <c r="Y41" s="39"/>
      <c r="Z41" s="39"/>
    </row>
    <row r="42" spans="1:26" ht="15.75" customHeight="1">
      <c r="A42" s="61"/>
      <c r="B42" s="685">
        <v>26</v>
      </c>
      <c r="C42" s="61" t="s">
        <v>751</v>
      </c>
      <c r="D42" s="61"/>
      <c r="E42" s="61"/>
      <c r="F42" s="67"/>
      <c r="G42" s="67"/>
      <c r="H42" s="63"/>
      <c r="I42" s="64"/>
      <c r="J42" s="39"/>
      <c r="K42" s="39"/>
      <c r="L42" s="39"/>
      <c r="M42" s="39"/>
      <c r="N42" s="39"/>
      <c r="O42" s="39"/>
      <c r="P42" s="39"/>
      <c r="Q42" s="39"/>
      <c r="R42" s="39"/>
      <c r="S42" s="39"/>
      <c r="T42" s="39"/>
      <c r="U42" s="39"/>
      <c r="V42" s="39"/>
      <c r="W42" s="39"/>
      <c r="X42" s="39"/>
      <c r="Y42" s="39"/>
      <c r="Z42" s="39"/>
    </row>
    <row r="43" spans="1:26" ht="15.75" customHeight="1">
      <c r="A43" s="68"/>
      <c r="B43" s="685">
        <v>20</v>
      </c>
      <c r="C43" s="61" t="s">
        <v>752</v>
      </c>
      <c r="D43" s="61"/>
      <c r="E43" s="61"/>
      <c r="F43" s="67"/>
      <c r="G43" s="67"/>
      <c r="H43" s="69"/>
      <c r="I43" s="70"/>
      <c r="J43" s="39"/>
      <c r="K43" s="39"/>
      <c r="L43" s="39"/>
      <c r="M43" s="39"/>
      <c r="N43" s="39"/>
      <c r="O43" s="39"/>
      <c r="P43" s="39"/>
      <c r="Q43" s="39"/>
      <c r="R43" s="39"/>
      <c r="S43" s="39"/>
      <c r="T43" s="39"/>
      <c r="U43" s="39"/>
      <c r="V43" s="39"/>
      <c r="W43" s="39"/>
      <c r="X43" s="39"/>
      <c r="Y43" s="39"/>
      <c r="Z43" s="39"/>
    </row>
    <row r="44" spans="1:26" ht="15.75" customHeight="1">
      <c r="A44" s="61"/>
      <c r="B44" s="685">
        <v>3</v>
      </c>
      <c r="C44" s="61" t="s">
        <v>753</v>
      </c>
      <c r="D44" s="61"/>
      <c r="E44" s="61"/>
      <c r="F44" s="67"/>
      <c r="G44" s="67"/>
      <c r="H44" s="63"/>
      <c r="I44" s="64"/>
      <c r="J44" s="39"/>
      <c r="K44" s="39"/>
      <c r="L44" s="39"/>
      <c r="M44" s="39"/>
      <c r="N44" s="39"/>
      <c r="O44" s="39"/>
      <c r="P44" s="39"/>
      <c r="Q44" s="39"/>
      <c r="R44" s="39"/>
      <c r="S44" s="39"/>
      <c r="T44" s="39"/>
      <c r="U44" s="39"/>
      <c r="V44" s="39"/>
      <c r="W44" s="39"/>
      <c r="X44" s="39"/>
      <c r="Y44" s="39"/>
      <c r="Z44" s="39"/>
    </row>
    <row r="45" spans="1:26" ht="15.75" customHeight="1">
      <c r="A45" s="61"/>
      <c r="B45" s="685">
        <v>2</v>
      </c>
      <c r="C45" s="61" t="s">
        <v>754</v>
      </c>
      <c r="D45" s="61"/>
      <c r="E45" s="61"/>
      <c r="F45" s="71"/>
      <c r="G45" s="63"/>
      <c r="H45" s="63"/>
      <c r="I45" s="64"/>
      <c r="J45" s="39"/>
      <c r="K45" s="39"/>
      <c r="L45" s="39"/>
      <c r="M45" s="39"/>
      <c r="N45" s="39"/>
      <c r="O45" s="39"/>
      <c r="P45" s="39"/>
      <c r="Q45" s="39"/>
      <c r="R45" s="39"/>
      <c r="S45" s="39"/>
      <c r="T45" s="39"/>
      <c r="U45" s="39"/>
      <c r="V45" s="39"/>
      <c r="W45" s="39"/>
      <c r="X45" s="39"/>
      <c r="Y45" s="39"/>
      <c r="Z45" s="39"/>
    </row>
    <row r="46" spans="1:26" ht="15.75" customHeight="1">
      <c r="A46" s="61"/>
      <c r="B46" s="72" t="s">
        <v>755</v>
      </c>
      <c r="C46" s="72" t="s">
        <v>756</v>
      </c>
      <c r="D46" s="72" t="s">
        <v>697</v>
      </c>
      <c r="E46" s="73" t="s">
        <v>757</v>
      </c>
      <c r="F46" s="73" t="s">
        <v>758</v>
      </c>
      <c r="G46" s="72" t="s">
        <v>759</v>
      </c>
      <c r="H46" s="72" t="s">
        <v>760</v>
      </c>
      <c r="I46" s="686" t="s">
        <v>761</v>
      </c>
      <c r="J46" s="74" t="s">
        <v>762</v>
      </c>
      <c r="K46" s="39"/>
      <c r="L46" s="39"/>
      <c r="M46" s="39"/>
      <c r="N46" s="39"/>
      <c r="O46" s="39"/>
      <c r="P46" s="39"/>
      <c r="Q46" s="39"/>
      <c r="R46" s="39"/>
      <c r="S46" s="39"/>
      <c r="T46" s="39"/>
      <c r="U46" s="39"/>
      <c r="V46" s="39"/>
      <c r="W46" s="39"/>
      <c r="X46" s="39"/>
      <c r="Y46" s="39"/>
      <c r="Z46" s="39"/>
    </row>
    <row r="47" spans="1:26" ht="15.75" customHeight="1">
      <c r="A47" s="61"/>
      <c r="B47" s="75">
        <v>1</v>
      </c>
      <c r="C47" s="76" t="s">
        <v>763</v>
      </c>
      <c r="D47" s="76" t="s">
        <v>764</v>
      </c>
      <c r="E47" s="77">
        <f>$E$15</f>
        <v>6500</v>
      </c>
      <c r="F47" s="77"/>
      <c r="G47" s="75">
        <v>1</v>
      </c>
      <c r="H47" s="75">
        <f>B44</f>
        <v>3</v>
      </c>
      <c r="I47" s="78">
        <f t="shared" ref="I47:I51" si="2">E47*G47*H47</f>
        <v>19500</v>
      </c>
      <c r="J47" s="77">
        <f t="shared" ref="J47:J55" si="3">I47/2</f>
        <v>9750</v>
      </c>
      <c r="K47" s="39"/>
      <c r="L47" s="39"/>
      <c r="M47" s="39"/>
      <c r="N47" s="39"/>
      <c r="O47" s="39"/>
      <c r="P47" s="39"/>
      <c r="Q47" s="39"/>
      <c r="R47" s="39"/>
      <c r="S47" s="39"/>
      <c r="T47" s="39"/>
      <c r="U47" s="39"/>
      <c r="V47" s="39"/>
      <c r="W47" s="39"/>
      <c r="X47" s="39"/>
      <c r="Y47" s="39"/>
      <c r="Z47" s="39"/>
    </row>
    <row r="48" spans="1:26" ht="15.75" customHeight="1">
      <c r="A48" s="61"/>
      <c r="B48" s="75">
        <v>2</v>
      </c>
      <c r="C48" s="76" t="s">
        <v>742</v>
      </c>
      <c r="D48" s="76" t="s">
        <v>765</v>
      </c>
      <c r="E48" s="77">
        <f>$E$27</f>
        <v>1235</v>
      </c>
      <c r="F48" s="77"/>
      <c r="G48" s="75">
        <f>B43</f>
        <v>20</v>
      </c>
      <c r="H48" s="75">
        <v>1</v>
      </c>
      <c r="I48" s="78">
        <f t="shared" si="2"/>
        <v>24700</v>
      </c>
      <c r="J48" s="77">
        <f t="shared" si="3"/>
        <v>12350</v>
      </c>
      <c r="K48" s="39"/>
      <c r="L48" s="39"/>
      <c r="M48" s="39"/>
      <c r="N48" s="39"/>
      <c r="O48" s="39"/>
      <c r="P48" s="39"/>
      <c r="Q48" s="39"/>
      <c r="R48" s="39"/>
      <c r="S48" s="39"/>
      <c r="T48" s="39"/>
      <c r="U48" s="39"/>
      <c r="V48" s="39"/>
      <c r="W48" s="39"/>
      <c r="X48" s="39"/>
      <c r="Y48" s="39"/>
      <c r="Z48" s="39"/>
    </row>
    <row r="49" spans="1:26" ht="15.75" customHeight="1">
      <c r="A49" s="61"/>
      <c r="B49" s="75">
        <v>3</v>
      </c>
      <c r="C49" s="79" t="s">
        <v>766</v>
      </c>
      <c r="D49" s="76" t="s">
        <v>765</v>
      </c>
      <c r="E49" s="77">
        <f>$E$14</f>
        <v>300</v>
      </c>
      <c r="F49" s="77"/>
      <c r="G49" s="75">
        <f>B42+B45</f>
        <v>28</v>
      </c>
      <c r="H49" s="75">
        <f>B44</f>
        <v>3</v>
      </c>
      <c r="I49" s="78">
        <f t="shared" si="2"/>
        <v>25200</v>
      </c>
      <c r="J49" s="77">
        <f t="shared" si="3"/>
        <v>12600</v>
      </c>
      <c r="K49" s="39"/>
      <c r="L49" s="39"/>
      <c r="M49" s="39"/>
      <c r="N49" s="39"/>
      <c r="O49" s="39"/>
      <c r="P49" s="39"/>
      <c r="Q49" s="39"/>
      <c r="R49" s="39"/>
      <c r="S49" s="39"/>
      <c r="T49" s="39"/>
      <c r="U49" s="39"/>
      <c r="V49" s="39"/>
      <c r="W49" s="39"/>
      <c r="X49" s="39"/>
      <c r="Y49" s="39"/>
      <c r="Z49" s="39"/>
    </row>
    <row r="50" spans="1:26" ht="15.75" customHeight="1">
      <c r="A50" s="61"/>
      <c r="B50" s="75">
        <v>5</v>
      </c>
      <c r="C50" s="76" t="s">
        <v>767</v>
      </c>
      <c r="D50" s="76" t="s">
        <v>765</v>
      </c>
      <c r="E50" s="77">
        <f>$E$16</f>
        <v>1175</v>
      </c>
      <c r="F50" s="77"/>
      <c r="G50" s="75">
        <f>B43</f>
        <v>20</v>
      </c>
      <c r="H50" s="75">
        <f>B44-0.5</f>
        <v>2.5</v>
      </c>
      <c r="I50" s="78">
        <f t="shared" si="2"/>
        <v>58750</v>
      </c>
      <c r="J50" s="77">
        <f t="shared" si="3"/>
        <v>29375</v>
      </c>
      <c r="K50" s="80"/>
      <c r="L50" s="39"/>
      <c r="M50" s="39"/>
      <c r="N50" s="39"/>
      <c r="O50" s="39"/>
      <c r="P50" s="39"/>
      <c r="Q50" s="39"/>
      <c r="R50" s="39"/>
      <c r="S50" s="39"/>
      <c r="T50" s="39"/>
      <c r="U50" s="39"/>
      <c r="V50" s="39"/>
      <c r="W50" s="39"/>
      <c r="X50" s="39"/>
      <c r="Y50" s="39"/>
      <c r="Z50" s="39"/>
    </row>
    <row r="51" spans="1:26" ht="15.75" customHeight="1">
      <c r="A51" s="61"/>
      <c r="B51" s="75">
        <v>6</v>
      </c>
      <c r="C51" s="76" t="s">
        <v>713</v>
      </c>
      <c r="D51" s="76" t="s">
        <v>765</v>
      </c>
      <c r="E51" s="77">
        <f>$E$17</f>
        <v>100</v>
      </c>
      <c r="F51" s="77"/>
      <c r="G51" s="75">
        <f>B42</f>
        <v>26</v>
      </c>
      <c r="H51" s="75">
        <v>1</v>
      </c>
      <c r="I51" s="78">
        <f t="shared" si="2"/>
        <v>2600</v>
      </c>
      <c r="J51" s="77">
        <f t="shared" si="3"/>
        <v>1300</v>
      </c>
      <c r="K51" s="39"/>
      <c r="L51" s="39"/>
      <c r="M51" s="39"/>
      <c r="N51" s="39"/>
      <c r="O51" s="39"/>
      <c r="P51" s="39"/>
      <c r="Q51" s="39"/>
      <c r="R51" s="39"/>
      <c r="S51" s="39"/>
      <c r="T51" s="39"/>
      <c r="U51" s="39"/>
      <c r="V51" s="39"/>
      <c r="W51" s="39"/>
      <c r="X51" s="39"/>
      <c r="Y51" s="39"/>
      <c r="Z51" s="39"/>
    </row>
    <row r="52" spans="1:26" ht="15.75" customHeight="1">
      <c r="A52" s="61"/>
      <c r="B52" s="75">
        <v>7</v>
      </c>
      <c r="C52" s="76" t="s">
        <v>717</v>
      </c>
      <c r="D52" s="76" t="s">
        <v>768</v>
      </c>
      <c r="E52" s="81">
        <f>E18</f>
        <v>0.1</v>
      </c>
      <c r="F52" s="81"/>
      <c r="G52" s="75"/>
      <c r="H52" s="75"/>
      <c r="I52" s="78">
        <f>SUM(I47:I51)*E52</f>
        <v>13075</v>
      </c>
      <c r="J52" s="77">
        <f t="shared" si="3"/>
        <v>6537.5</v>
      </c>
      <c r="K52" s="39"/>
      <c r="L52" s="39"/>
      <c r="M52" s="39"/>
      <c r="N52" s="39"/>
      <c r="O52" s="39"/>
      <c r="P52" s="39"/>
      <c r="Q52" s="39"/>
      <c r="R52" s="39"/>
      <c r="S52" s="39"/>
      <c r="T52" s="39"/>
      <c r="U52" s="39"/>
      <c r="V52" s="39"/>
      <c r="W52" s="39"/>
      <c r="X52" s="39"/>
      <c r="Y52" s="39"/>
      <c r="Z52" s="39"/>
    </row>
    <row r="53" spans="1:26" ht="15.75" customHeight="1">
      <c r="A53" s="61"/>
      <c r="B53" s="75">
        <v>8</v>
      </c>
      <c r="C53" s="76" t="s">
        <v>769</v>
      </c>
      <c r="D53" s="76" t="s">
        <v>764</v>
      </c>
      <c r="E53" s="82">
        <f>$E$13</f>
        <v>3334</v>
      </c>
      <c r="F53" s="82"/>
      <c r="G53" s="75">
        <f>B45</f>
        <v>2</v>
      </c>
      <c r="H53" s="75">
        <f>B44</f>
        <v>3</v>
      </c>
      <c r="I53" s="78">
        <f>E53*G53*H53</f>
        <v>20004</v>
      </c>
      <c r="J53" s="77">
        <f t="shared" si="3"/>
        <v>10002</v>
      </c>
      <c r="K53" s="39"/>
      <c r="L53" s="39"/>
      <c r="M53" s="39"/>
      <c r="N53" s="39"/>
      <c r="O53" s="39"/>
      <c r="P53" s="39"/>
      <c r="Q53" s="39"/>
      <c r="R53" s="39"/>
      <c r="S53" s="39"/>
      <c r="T53" s="39"/>
      <c r="U53" s="39"/>
      <c r="V53" s="39"/>
      <c r="W53" s="39"/>
      <c r="X53" s="39"/>
      <c r="Y53" s="39"/>
      <c r="Z53" s="39"/>
    </row>
    <row r="54" spans="1:26" ht="15.75" customHeight="1">
      <c r="A54" s="61"/>
      <c r="B54" s="83"/>
      <c r="C54" s="83" t="s">
        <v>770</v>
      </c>
      <c r="D54" s="83"/>
      <c r="E54" s="83"/>
      <c r="F54" s="84"/>
      <c r="G54" s="85"/>
      <c r="H54" s="85"/>
      <c r="I54" s="687">
        <f>SUM(I47:I53)</f>
        <v>163829</v>
      </c>
      <c r="J54" s="86">
        <f t="shared" si="3"/>
        <v>81914.5</v>
      </c>
      <c r="K54" s="39"/>
      <c r="L54" s="39"/>
      <c r="M54" s="39"/>
      <c r="N54" s="39"/>
      <c r="O54" s="39"/>
      <c r="P54" s="39"/>
      <c r="Q54" s="39"/>
      <c r="R54" s="39"/>
      <c r="S54" s="39"/>
      <c r="T54" s="39"/>
      <c r="U54" s="39"/>
      <c r="V54" s="39"/>
      <c r="W54" s="39"/>
      <c r="X54" s="39"/>
      <c r="Y54" s="39"/>
      <c r="Z54" s="39"/>
    </row>
    <row r="55" spans="1:26" ht="15.75" customHeight="1">
      <c r="A55" s="39"/>
      <c r="B55" s="39"/>
      <c r="C55" s="39"/>
      <c r="D55" s="39"/>
      <c r="E55" s="39"/>
      <c r="F55" s="39"/>
      <c r="G55" s="39"/>
      <c r="H55" s="87" t="s">
        <v>771</v>
      </c>
      <c r="I55" s="88">
        <f>I54/B42/B44</f>
        <v>2100.3717948717949</v>
      </c>
      <c r="J55" s="89">
        <f t="shared" si="3"/>
        <v>1050.1858974358975</v>
      </c>
      <c r="K55" s="39"/>
      <c r="L55" s="39"/>
      <c r="M55" s="39"/>
      <c r="N55" s="39"/>
      <c r="O55" s="39"/>
      <c r="P55" s="39"/>
      <c r="Q55" s="39"/>
      <c r="R55" s="39"/>
      <c r="S55" s="39"/>
      <c r="T55" s="39"/>
      <c r="U55" s="39"/>
      <c r="V55" s="39"/>
      <c r="W55" s="39"/>
      <c r="X55" s="39"/>
      <c r="Y55" s="39"/>
      <c r="Z55" s="39"/>
    </row>
    <row r="56" spans="1:26" ht="15.75" customHeight="1">
      <c r="A56" s="39"/>
      <c r="B56" s="39"/>
      <c r="C56" s="39"/>
      <c r="D56" s="39"/>
      <c r="E56" s="39"/>
      <c r="F56" s="39"/>
      <c r="G56" s="39"/>
      <c r="H56" s="90" t="s">
        <v>772</v>
      </c>
      <c r="I56" s="688">
        <f>B42*B44</f>
        <v>78</v>
      </c>
      <c r="J56" s="39"/>
      <c r="K56" s="39"/>
      <c r="L56" s="39"/>
      <c r="M56" s="39"/>
      <c r="N56" s="39"/>
      <c r="O56" s="39"/>
      <c r="P56" s="39"/>
      <c r="Q56" s="39"/>
      <c r="R56" s="39"/>
      <c r="S56" s="39"/>
      <c r="T56" s="39"/>
      <c r="U56" s="39"/>
      <c r="V56" s="39"/>
      <c r="W56" s="39"/>
      <c r="X56" s="39"/>
      <c r="Y56" s="39"/>
      <c r="Z56" s="39"/>
    </row>
    <row r="57" spans="1:26" ht="15.75" customHeight="1">
      <c r="A57" s="39"/>
      <c r="B57" s="39"/>
      <c r="C57" s="39"/>
      <c r="D57" s="39"/>
      <c r="E57" s="39"/>
      <c r="F57" s="39"/>
      <c r="G57" s="39"/>
      <c r="H57" s="66"/>
      <c r="I57" s="66"/>
      <c r="J57" s="39"/>
      <c r="K57" s="39"/>
      <c r="L57" s="39"/>
      <c r="M57" s="39"/>
      <c r="N57" s="39"/>
      <c r="O57" s="39"/>
      <c r="P57" s="39"/>
      <c r="Q57" s="39"/>
      <c r="R57" s="39"/>
      <c r="S57" s="39"/>
      <c r="T57" s="39"/>
      <c r="U57" s="39"/>
      <c r="V57" s="39"/>
      <c r="W57" s="39"/>
      <c r="X57" s="39"/>
      <c r="Y57" s="39"/>
      <c r="Z57" s="39"/>
    </row>
    <row r="58" spans="1:26" ht="15.75" customHeight="1">
      <c r="A58" s="683" t="s">
        <v>773</v>
      </c>
      <c r="B58" s="684" t="str">
        <f>"Training/round table/seminar ("&amp;B61&amp;"-day event)"</f>
        <v>Training/round table/seminar (2-day event)</v>
      </c>
      <c r="C58" s="683"/>
      <c r="D58" s="683"/>
      <c r="E58" s="683"/>
      <c r="F58" s="683"/>
      <c r="G58" s="683"/>
      <c r="H58" s="683"/>
      <c r="I58" s="683"/>
      <c r="J58" s="683"/>
      <c r="K58" s="39"/>
      <c r="L58" s="39"/>
      <c r="M58" s="39"/>
      <c r="N58" s="39"/>
      <c r="O58" s="39"/>
      <c r="P58" s="39"/>
      <c r="Q58" s="39"/>
      <c r="R58" s="39"/>
      <c r="S58" s="39"/>
      <c r="T58" s="39"/>
      <c r="U58" s="39"/>
      <c r="V58" s="39"/>
      <c r="W58" s="39"/>
      <c r="X58" s="39"/>
      <c r="Y58" s="39"/>
      <c r="Z58" s="39"/>
    </row>
    <row r="59" spans="1:26" ht="15.75" customHeight="1">
      <c r="A59" s="61"/>
      <c r="B59" s="685">
        <v>30</v>
      </c>
      <c r="C59" s="61" t="s">
        <v>751</v>
      </c>
      <c r="D59" s="61"/>
      <c r="E59" s="61"/>
      <c r="F59" s="67"/>
      <c r="G59" s="63"/>
      <c r="H59" s="63"/>
      <c r="I59" s="64"/>
      <c r="J59" s="39"/>
      <c r="K59" s="39"/>
      <c r="L59" s="39"/>
      <c r="M59" s="39"/>
      <c r="N59" s="39"/>
      <c r="O59" s="39"/>
      <c r="P59" s="39"/>
      <c r="Q59" s="39"/>
      <c r="R59" s="39"/>
      <c r="S59" s="39"/>
      <c r="T59" s="39"/>
      <c r="U59" s="39"/>
      <c r="V59" s="39"/>
      <c r="W59" s="39"/>
      <c r="X59" s="39"/>
      <c r="Y59" s="39"/>
      <c r="Z59" s="39"/>
    </row>
    <row r="60" spans="1:26" ht="15.75" customHeight="1">
      <c r="A60" s="68"/>
      <c r="B60" s="685">
        <f>B59*50%</f>
        <v>15</v>
      </c>
      <c r="C60" s="61" t="s">
        <v>752</v>
      </c>
      <c r="D60" s="61"/>
      <c r="E60" s="67"/>
      <c r="F60" s="67"/>
      <c r="G60" s="67"/>
      <c r="H60" s="69"/>
      <c r="I60" s="70"/>
      <c r="J60" s="39"/>
      <c r="K60" s="39"/>
      <c r="L60" s="39"/>
      <c r="M60" s="39"/>
      <c r="N60" s="39"/>
      <c r="O60" s="39"/>
      <c r="P60" s="39"/>
      <c r="Q60" s="39"/>
      <c r="R60" s="39"/>
      <c r="S60" s="39"/>
      <c r="T60" s="39"/>
      <c r="U60" s="39"/>
      <c r="V60" s="39"/>
      <c r="W60" s="39"/>
      <c r="X60" s="39"/>
      <c r="Y60" s="39"/>
      <c r="Z60" s="39"/>
    </row>
    <row r="61" spans="1:26" ht="15.75" customHeight="1">
      <c r="A61" s="61"/>
      <c r="B61" s="685">
        <v>2</v>
      </c>
      <c r="C61" s="61" t="s">
        <v>753</v>
      </c>
      <c r="D61" s="61"/>
      <c r="E61" s="61"/>
      <c r="F61" s="71"/>
      <c r="G61" s="63"/>
      <c r="H61" s="63"/>
      <c r="I61" s="64"/>
      <c r="J61" s="39"/>
      <c r="K61" s="39"/>
      <c r="L61" s="39"/>
      <c r="M61" s="39"/>
      <c r="N61" s="39"/>
      <c r="O61" s="39"/>
      <c r="P61" s="39"/>
      <c r="Q61" s="39"/>
      <c r="R61" s="39"/>
      <c r="S61" s="39"/>
      <c r="T61" s="39"/>
      <c r="U61" s="39"/>
      <c r="V61" s="39"/>
      <c r="W61" s="39"/>
      <c r="X61" s="39"/>
      <c r="Y61" s="39"/>
      <c r="Z61" s="39"/>
    </row>
    <row r="62" spans="1:26" ht="15.75" customHeight="1">
      <c r="A62" s="61"/>
      <c r="B62" s="685">
        <v>2</v>
      </c>
      <c r="C62" s="61" t="s">
        <v>774</v>
      </c>
      <c r="D62" s="61"/>
      <c r="E62" s="61"/>
      <c r="F62" s="71"/>
      <c r="G62" s="63"/>
      <c r="H62" s="63"/>
      <c r="I62" s="64"/>
      <c r="J62" s="39"/>
      <c r="K62" s="39"/>
      <c r="L62" s="39"/>
      <c r="M62" s="39"/>
      <c r="N62" s="39"/>
      <c r="O62" s="39"/>
      <c r="P62" s="39"/>
      <c r="Q62" s="39"/>
      <c r="R62" s="39"/>
      <c r="S62" s="39"/>
      <c r="T62" s="39"/>
      <c r="U62" s="39"/>
      <c r="V62" s="39"/>
      <c r="W62" s="39"/>
      <c r="X62" s="39"/>
      <c r="Y62" s="39"/>
      <c r="Z62" s="39"/>
    </row>
    <row r="63" spans="1:26" ht="15.75" customHeight="1">
      <c r="A63" s="61"/>
      <c r="B63" s="72" t="s">
        <v>755</v>
      </c>
      <c r="C63" s="72" t="s">
        <v>756</v>
      </c>
      <c r="D63" s="72" t="s">
        <v>697</v>
      </c>
      <c r="E63" s="73" t="s">
        <v>757</v>
      </c>
      <c r="F63" s="73" t="s">
        <v>758</v>
      </c>
      <c r="G63" s="72" t="s">
        <v>759</v>
      </c>
      <c r="H63" s="72" t="s">
        <v>760</v>
      </c>
      <c r="I63" s="686" t="s">
        <v>761</v>
      </c>
      <c r="J63" s="74" t="s">
        <v>762</v>
      </c>
      <c r="K63" s="39"/>
      <c r="L63" s="39"/>
      <c r="M63" s="39"/>
      <c r="N63" s="39"/>
      <c r="O63" s="39"/>
      <c r="P63" s="39"/>
      <c r="Q63" s="39"/>
      <c r="R63" s="39"/>
      <c r="S63" s="39"/>
      <c r="T63" s="39"/>
      <c r="U63" s="39"/>
      <c r="V63" s="39"/>
      <c r="W63" s="39"/>
      <c r="X63" s="39"/>
      <c r="Y63" s="39"/>
      <c r="Z63" s="39"/>
    </row>
    <row r="64" spans="1:26" ht="15.75" customHeight="1">
      <c r="A64" s="61"/>
      <c r="B64" s="75">
        <v>1</v>
      </c>
      <c r="C64" s="76" t="s">
        <v>763</v>
      </c>
      <c r="D64" s="76" t="s">
        <v>764</v>
      </c>
      <c r="E64" s="82">
        <f>$E$15</f>
        <v>6500</v>
      </c>
      <c r="F64" s="82"/>
      <c r="G64" s="75">
        <v>1</v>
      </c>
      <c r="H64" s="75">
        <f>B61</f>
        <v>2</v>
      </c>
      <c r="I64" s="91">
        <f t="shared" ref="I64:I68" si="4">E64*G64*H64</f>
        <v>13000</v>
      </c>
      <c r="J64" s="82">
        <f t="shared" ref="J64:J70" si="5">I64/2</f>
        <v>6500</v>
      </c>
      <c r="K64" s="39"/>
      <c r="L64" s="39"/>
      <c r="M64" s="39"/>
      <c r="N64" s="39"/>
      <c r="O64" s="39"/>
      <c r="P64" s="39"/>
      <c r="Q64" s="39"/>
      <c r="R64" s="39"/>
      <c r="S64" s="39"/>
      <c r="T64" s="39"/>
      <c r="U64" s="39"/>
      <c r="V64" s="39"/>
      <c r="W64" s="39"/>
      <c r="X64" s="39"/>
      <c r="Y64" s="39"/>
      <c r="Z64" s="39"/>
    </row>
    <row r="65" spans="1:26" ht="15.75" customHeight="1">
      <c r="A65" s="61"/>
      <c r="B65" s="75">
        <v>2</v>
      </c>
      <c r="C65" s="76" t="s">
        <v>742</v>
      </c>
      <c r="D65" s="76" t="s">
        <v>765</v>
      </c>
      <c r="E65" s="82">
        <f>$E$27</f>
        <v>1235</v>
      </c>
      <c r="F65" s="82"/>
      <c r="G65" s="75">
        <f>B60</f>
        <v>15</v>
      </c>
      <c r="H65" s="75">
        <v>1</v>
      </c>
      <c r="I65" s="91">
        <f t="shared" si="4"/>
        <v>18525</v>
      </c>
      <c r="J65" s="82">
        <f t="shared" si="5"/>
        <v>9262.5</v>
      </c>
      <c r="K65" s="39"/>
      <c r="L65" s="39"/>
      <c r="M65" s="39"/>
      <c r="N65" s="39"/>
      <c r="O65" s="39"/>
      <c r="P65" s="39"/>
      <c r="Q65" s="39"/>
      <c r="R65" s="39"/>
      <c r="S65" s="39"/>
      <c r="T65" s="39"/>
      <c r="U65" s="39"/>
      <c r="V65" s="39"/>
      <c r="W65" s="39"/>
      <c r="X65" s="39"/>
      <c r="Y65" s="39"/>
      <c r="Z65" s="39"/>
    </row>
    <row r="66" spans="1:26" ht="15.75" customHeight="1">
      <c r="A66" s="61"/>
      <c r="B66" s="75">
        <v>3</v>
      </c>
      <c r="C66" s="79" t="s">
        <v>766</v>
      </c>
      <c r="D66" s="76" t="s">
        <v>765</v>
      </c>
      <c r="E66" s="92">
        <f>$E$14</f>
        <v>300</v>
      </c>
      <c r="F66" s="82"/>
      <c r="G66" s="75">
        <f>B59+B62</f>
        <v>32</v>
      </c>
      <c r="H66" s="75">
        <f>B61</f>
        <v>2</v>
      </c>
      <c r="I66" s="91">
        <f t="shared" si="4"/>
        <v>19200</v>
      </c>
      <c r="J66" s="82">
        <f t="shared" si="5"/>
        <v>9600</v>
      </c>
      <c r="K66" s="39"/>
      <c r="L66" s="39"/>
      <c r="M66" s="39"/>
      <c r="N66" s="39"/>
      <c r="O66" s="39"/>
      <c r="P66" s="39"/>
      <c r="Q66" s="39"/>
      <c r="R66" s="39"/>
      <c r="S66" s="39"/>
      <c r="T66" s="39"/>
      <c r="U66" s="39"/>
      <c r="V66" s="39"/>
      <c r="W66" s="39"/>
      <c r="X66" s="39"/>
      <c r="Y66" s="39"/>
      <c r="Z66" s="39"/>
    </row>
    <row r="67" spans="1:26" ht="15.75" customHeight="1">
      <c r="A67" s="61"/>
      <c r="B67" s="75">
        <v>5</v>
      </c>
      <c r="C67" s="76" t="s">
        <v>775</v>
      </c>
      <c r="D67" s="76" t="s">
        <v>765</v>
      </c>
      <c r="E67" s="82">
        <f>$E$16</f>
        <v>1175</v>
      </c>
      <c r="F67" s="82"/>
      <c r="G67" s="75">
        <f>$B$60+$B$62</f>
        <v>17</v>
      </c>
      <c r="H67" s="75">
        <f>B61-0.5</f>
        <v>1.5</v>
      </c>
      <c r="I67" s="91">
        <f t="shared" si="4"/>
        <v>29962.5</v>
      </c>
      <c r="J67" s="82">
        <f t="shared" si="5"/>
        <v>14981.25</v>
      </c>
      <c r="K67" s="39"/>
      <c r="L67" s="39"/>
      <c r="M67" s="39"/>
      <c r="N67" s="39"/>
      <c r="O67" s="39"/>
      <c r="P67" s="39"/>
      <c r="Q67" s="39"/>
      <c r="R67" s="39"/>
      <c r="S67" s="39"/>
      <c r="T67" s="39"/>
      <c r="U67" s="39"/>
      <c r="V67" s="39"/>
      <c r="W67" s="39"/>
      <c r="X67" s="39"/>
      <c r="Y67" s="39"/>
      <c r="Z67" s="39"/>
    </row>
    <row r="68" spans="1:26" ht="15.75" customHeight="1">
      <c r="A68" s="61"/>
      <c r="B68" s="75">
        <v>6</v>
      </c>
      <c r="C68" s="76" t="s">
        <v>713</v>
      </c>
      <c r="D68" s="76" t="s">
        <v>765</v>
      </c>
      <c r="E68" s="82">
        <f>$E$17</f>
        <v>100</v>
      </c>
      <c r="F68" s="82"/>
      <c r="G68" s="75">
        <f>B59</f>
        <v>30</v>
      </c>
      <c r="H68" s="75">
        <v>1</v>
      </c>
      <c r="I68" s="91">
        <f t="shared" si="4"/>
        <v>3000</v>
      </c>
      <c r="J68" s="82">
        <f t="shared" si="5"/>
        <v>1500</v>
      </c>
      <c r="K68" s="39"/>
      <c r="L68" s="39"/>
      <c r="M68" s="39"/>
      <c r="N68" s="39"/>
      <c r="O68" s="39"/>
      <c r="P68" s="39"/>
      <c r="Q68" s="39"/>
      <c r="R68" s="39"/>
      <c r="S68" s="39"/>
      <c r="T68" s="39"/>
      <c r="U68" s="39"/>
      <c r="V68" s="39"/>
      <c r="W68" s="39"/>
      <c r="X68" s="39"/>
      <c r="Y68" s="39"/>
      <c r="Z68" s="39"/>
    </row>
    <row r="69" spans="1:26" ht="15.75" customHeight="1">
      <c r="A69" s="61"/>
      <c r="B69" s="75">
        <v>7</v>
      </c>
      <c r="C69" s="76" t="s">
        <v>717</v>
      </c>
      <c r="D69" s="76" t="s">
        <v>768</v>
      </c>
      <c r="E69" s="81">
        <f>E24</f>
        <v>0.1</v>
      </c>
      <c r="F69" s="81"/>
      <c r="G69" s="75"/>
      <c r="H69" s="75"/>
      <c r="I69" s="91">
        <f>SUM(I64:I68)*E69</f>
        <v>8368.75</v>
      </c>
      <c r="J69" s="82">
        <f t="shared" si="5"/>
        <v>4184.375</v>
      </c>
      <c r="K69" s="39"/>
      <c r="L69" s="39"/>
      <c r="M69" s="39"/>
      <c r="N69" s="39"/>
      <c r="O69" s="39"/>
      <c r="P69" s="39"/>
      <c r="Q69" s="39"/>
      <c r="R69" s="39"/>
      <c r="S69" s="39"/>
      <c r="T69" s="39"/>
      <c r="U69" s="39"/>
      <c r="V69" s="39"/>
      <c r="W69" s="39"/>
      <c r="X69" s="39"/>
      <c r="Y69" s="39"/>
      <c r="Z69" s="39"/>
    </row>
    <row r="70" spans="1:26" ht="15.75" customHeight="1">
      <c r="A70" s="61"/>
      <c r="B70" s="75">
        <v>8</v>
      </c>
      <c r="C70" s="76" t="s">
        <v>769</v>
      </c>
      <c r="D70" s="76" t="s">
        <v>764</v>
      </c>
      <c r="E70" s="82">
        <f>$E$13</f>
        <v>3334</v>
      </c>
      <c r="F70" s="82"/>
      <c r="G70" s="75">
        <f>B62</f>
        <v>2</v>
      </c>
      <c r="H70" s="75">
        <f>B61</f>
        <v>2</v>
      </c>
      <c r="I70" s="91">
        <f>E70*G70*H70</f>
        <v>13336</v>
      </c>
      <c r="J70" s="82">
        <f t="shared" si="5"/>
        <v>6668</v>
      </c>
      <c r="K70" s="39"/>
      <c r="L70" s="39"/>
      <c r="M70" s="39"/>
      <c r="N70" s="39"/>
      <c r="O70" s="39"/>
      <c r="P70" s="39"/>
      <c r="Q70" s="39"/>
      <c r="R70" s="39"/>
      <c r="S70" s="39"/>
      <c r="T70" s="39"/>
      <c r="U70" s="39"/>
      <c r="V70" s="39"/>
      <c r="W70" s="39"/>
      <c r="X70" s="39"/>
      <c r="Y70" s="39"/>
      <c r="Z70" s="39"/>
    </row>
    <row r="71" spans="1:26" ht="15.75" customHeight="1">
      <c r="A71" s="61"/>
      <c r="B71" s="83"/>
      <c r="C71" s="83" t="s">
        <v>770</v>
      </c>
      <c r="D71" s="83"/>
      <c r="E71" s="83"/>
      <c r="F71" s="84"/>
      <c r="G71" s="85"/>
      <c r="H71" s="85"/>
      <c r="I71" s="687">
        <f t="shared" ref="I71:J71" si="6">SUM(I64:I70)</f>
        <v>105392.25</v>
      </c>
      <c r="J71" s="86">
        <f t="shared" si="6"/>
        <v>52696.125</v>
      </c>
      <c r="K71" s="39"/>
      <c r="L71" s="39"/>
      <c r="M71" s="39"/>
      <c r="N71" s="39"/>
      <c r="O71" s="39"/>
      <c r="P71" s="39"/>
      <c r="Q71" s="39"/>
      <c r="R71" s="39"/>
      <c r="S71" s="39"/>
      <c r="T71" s="39"/>
      <c r="U71" s="39"/>
      <c r="V71" s="39"/>
      <c r="W71" s="39"/>
      <c r="X71" s="39"/>
      <c r="Y71" s="39"/>
      <c r="Z71" s="39"/>
    </row>
    <row r="72" spans="1:26" ht="15.75" customHeight="1">
      <c r="A72" s="39"/>
      <c r="B72" s="39"/>
      <c r="C72" s="39"/>
      <c r="D72" s="39"/>
      <c r="E72" s="39"/>
      <c r="F72" s="39"/>
      <c r="G72" s="39"/>
      <c r="H72" s="87" t="s">
        <v>771</v>
      </c>
      <c r="I72" s="88">
        <f>I71/B59/B61</f>
        <v>1756.5374999999999</v>
      </c>
      <c r="J72" s="89">
        <f>I72/2</f>
        <v>878.26874999999995</v>
      </c>
      <c r="K72" s="39"/>
      <c r="L72" s="39"/>
      <c r="M72" s="39"/>
      <c r="N72" s="39"/>
      <c r="O72" s="39"/>
      <c r="P72" s="39"/>
      <c r="Q72" s="39"/>
      <c r="R72" s="39"/>
      <c r="S72" s="39"/>
      <c r="T72" s="39"/>
      <c r="U72" s="39"/>
      <c r="V72" s="39"/>
      <c r="W72" s="39"/>
      <c r="X72" s="39"/>
      <c r="Y72" s="39"/>
      <c r="Z72" s="39"/>
    </row>
    <row r="73" spans="1:26" ht="15.75" customHeight="1">
      <c r="A73" s="39"/>
      <c r="B73" s="39"/>
      <c r="C73" s="39"/>
      <c r="D73" s="39"/>
      <c r="E73" s="39"/>
      <c r="F73" s="39"/>
      <c r="G73" s="39"/>
      <c r="H73" s="90" t="s">
        <v>772</v>
      </c>
      <c r="I73" s="688">
        <f>B59*B61</f>
        <v>60</v>
      </c>
      <c r="J73" s="39"/>
      <c r="K73" s="39"/>
      <c r="L73" s="39"/>
      <c r="M73" s="39"/>
      <c r="N73" s="39"/>
      <c r="O73" s="39"/>
      <c r="P73" s="39"/>
      <c r="Q73" s="39"/>
      <c r="R73" s="39"/>
      <c r="S73" s="39"/>
      <c r="T73" s="39"/>
      <c r="U73" s="39"/>
      <c r="V73" s="39"/>
      <c r="W73" s="39"/>
      <c r="X73" s="39"/>
      <c r="Y73" s="39"/>
      <c r="Z73" s="39"/>
    </row>
    <row r="74" spans="1:26" ht="15.75" customHeight="1">
      <c r="A74" s="39"/>
      <c r="B74" s="39"/>
      <c r="C74" s="39"/>
      <c r="D74" s="39"/>
      <c r="E74" s="39"/>
      <c r="F74" s="39"/>
      <c r="G74" s="39"/>
      <c r="H74" s="66"/>
      <c r="I74" s="66"/>
      <c r="J74" s="39"/>
      <c r="K74" s="39"/>
      <c r="L74" s="39"/>
      <c r="M74" s="39"/>
      <c r="N74" s="39"/>
      <c r="O74" s="39"/>
      <c r="P74" s="39"/>
      <c r="Q74" s="39"/>
      <c r="R74" s="39"/>
      <c r="S74" s="39"/>
      <c r="T74" s="39"/>
      <c r="U74" s="39"/>
      <c r="V74" s="39"/>
      <c r="W74" s="39"/>
      <c r="X74" s="39"/>
      <c r="Y74" s="39"/>
      <c r="Z74" s="39"/>
    </row>
    <row r="75" spans="1:26" ht="15.75" customHeight="1">
      <c r="A75" s="39"/>
      <c r="B75" s="39"/>
      <c r="C75" s="39"/>
      <c r="D75" s="39"/>
      <c r="E75" s="39"/>
      <c r="F75" s="39"/>
      <c r="G75" s="39"/>
      <c r="H75" s="66"/>
      <c r="I75" s="66"/>
      <c r="J75" s="39"/>
      <c r="K75" s="39"/>
      <c r="L75" s="39"/>
      <c r="M75" s="39"/>
      <c r="N75" s="39"/>
      <c r="O75" s="39"/>
      <c r="P75" s="39"/>
      <c r="Q75" s="39"/>
      <c r="R75" s="39"/>
      <c r="S75" s="39"/>
      <c r="T75" s="39"/>
      <c r="U75" s="39"/>
      <c r="V75" s="39"/>
      <c r="W75" s="39"/>
      <c r="X75" s="39"/>
      <c r="Y75" s="39"/>
      <c r="Z75" s="39"/>
    </row>
    <row r="76" spans="1:26" ht="15.75" customHeight="1">
      <c r="A76" s="39"/>
      <c r="B76" s="39"/>
      <c r="C76" s="39"/>
      <c r="D76" s="39"/>
      <c r="E76" s="39"/>
      <c r="F76" s="39"/>
      <c r="G76" s="39"/>
      <c r="H76" s="66"/>
      <c r="I76" s="66"/>
      <c r="J76" s="39"/>
      <c r="K76" s="39"/>
      <c r="L76" s="39"/>
      <c r="M76" s="39"/>
      <c r="N76" s="39"/>
      <c r="O76" s="39"/>
      <c r="P76" s="39"/>
      <c r="Q76" s="39"/>
      <c r="R76" s="39"/>
      <c r="S76" s="39"/>
      <c r="T76" s="39"/>
      <c r="U76" s="39"/>
      <c r="V76" s="39"/>
      <c r="W76" s="39"/>
      <c r="X76" s="39"/>
      <c r="Y76" s="39"/>
      <c r="Z76" s="39"/>
    </row>
    <row r="77" spans="1:26" ht="15.75" customHeight="1">
      <c r="A77" s="683" t="s">
        <v>776</v>
      </c>
      <c r="B77" s="684" t="str">
        <f>"Training/round table/seminar ("&amp;B80&amp;"-day event)"</f>
        <v>Training/round table/seminar (1-day event)</v>
      </c>
      <c r="C77" s="683"/>
      <c r="D77" s="683"/>
      <c r="E77" s="683"/>
      <c r="F77" s="683"/>
      <c r="G77" s="683"/>
      <c r="H77" s="683"/>
      <c r="I77" s="683"/>
      <c r="J77" s="683"/>
      <c r="K77" s="39"/>
      <c r="L77" s="39"/>
      <c r="M77" s="39"/>
      <c r="N77" s="39"/>
      <c r="O77" s="39"/>
      <c r="P77" s="39"/>
      <c r="Q77" s="39"/>
      <c r="R77" s="39"/>
      <c r="S77" s="39"/>
      <c r="T77" s="39"/>
      <c r="U77" s="39"/>
      <c r="V77" s="39"/>
      <c r="W77" s="39"/>
      <c r="X77" s="39"/>
      <c r="Y77" s="39"/>
      <c r="Z77" s="39"/>
    </row>
    <row r="78" spans="1:26" ht="15.75" customHeight="1">
      <c r="A78" s="61"/>
      <c r="B78" s="685">
        <v>20</v>
      </c>
      <c r="C78" s="61" t="s">
        <v>751</v>
      </c>
      <c r="D78" s="61"/>
      <c r="E78" s="67"/>
      <c r="F78" s="67"/>
      <c r="G78" s="67"/>
      <c r="H78" s="63"/>
      <c r="I78" s="64"/>
      <c r="J78" s="39"/>
      <c r="K78" s="39"/>
      <c r="L78" s="39"/>
      <c r="M78" s="39"/>
      <c r="N78" s="39"/>
      <c r="O78" s="39"/>
      <c r="P78" s="39"/>
      <c r="Q78" s="39"/>
      <c r="R78" s="39"/>
      <c r="S78" s="39"/>
      <c r="T78" s="39"/>
      <c r="U78" s="39"/>
      <c r="V78" s="39"/>
      <c r="W78" s="39"/>
      <c r="X78" s="39"/>
      <c r="Y78" s="39"/>
      <c r="Z78" s="39"/>
    </row>
    <row r="79" spans="1:26" ht="15.75" customHeight="1">
      <c r="A79" s="68"/>
      <c r="B79" s="685">
        <v>3</v>
      </c>
      <c r="C79" s="61" t="s">
        <v>752</v>
      </c>
      <c r="D79" s="61"/>
      <c r="E79" s="67"/>
      <c r="F79" s="67"/>
      <c r="G79" s="67"/>
      <c r="H79" s="69"/>
      <c r="I79" s="70"/>
      <c r="J79" s="39"/>
      <c r="K79" s="39"/>
      <c r="L79" s="39"/>
      <c r="M79" s="39"/>
      <c r="N79" s="39"/>
      <c r="O79" s="39"/>
      <c r="P79" s="39"/>
      <c r="Q79" s="39"/>
      <c r="R79" s="39"/>
      <c r="S79" s="39"/>
      <c r="T79" s="39"/>
      <c r="U79" s="39"/>
      <c r="V79" s="39"/>
      <c r="W79" s="39"/>
      <c r="X79" s="39"/>
      <c r="Y79" s="39"/>
      <c r="Z79" s="39"/>
    </row>
    <row r="80" spans="1:26" ht="15.75" customHeight="1">
      <c r="A80" s="61"/>
      <c r="B80" s="685">
        <v>1</v>
      </c>
      <c r="C80" s="61" t="s">
        <v>753</v>
      </c>
      <c r="D80" s="61"/>
      <c r="E80" s="61"/>
      <c r="F80" s="71"/>
      <c r="G80" s="63"/>
      <c r="H80" s="63"/>
      <c r="I80" s="64"/>
      <c r="J80" s="39"/>
      <c r="K80" s="39"/>
      <c r="L80" s="39"/>
      <c r="M80" s="39"/>
      <c r="N80" s="39"/>
      <c r="O80" s="39"/>
      <c r="P80" s="39"/>
      <c r="Q80" s="39"/>
      <c r="R80" s="39"/>
      <c r="S80" s="39"/>
      <c r="T80" s="39"/>
      <c r="U80" s="39"/>
      <c r="V80" s="39"/>
      <c r="W80" s="39"/>
      <c r="X80" s="39"/>
      <c r="Y80" s="39"/>
      <c r="Z80" s="39"/>
    </row>
    <row r="81" spans="1:26" ht="15.75" customHeight="1">
      <c r="A81" s="61"/>
      <c r="B81" s="685">
        <v>0</v>
      </c>
      <c r="C81" s="61" t="s">
        <v>774</v>
      </c>
      <c r="D81" s="61"/>
      <c r="E81" s="61"/>
      <c r="F81" s="71"/>
      <c r="G81" s="63"/>
      <c r="H81" s="63"/>
      <c r="I81" s="64"/>
      <c r="J81" s="39"/>
      <c r="K81" s="39"/>
      <c r="L81" s="39"/>
      <c r="M81" s="39"/>
      <c r="N81" s="39"/>
      <c r="O81" s="39"/>
      <c r="P81" s="39"/>
      <c r="Q81" s="39"/>
      <c r="R81" s="39"/>
      <c r="S81" s="39"/>
      <c r="T81" s="39"/>
      <c r="U81" s="39"/>
      <c r="V81" s="39"/>
      <c r="W81" s="39"/>
      <c r="X81" s="39"/>
      <c r="Y81" s="39"/>
      <c r="Z81" s="39"/>
    </row>
    <row r="82" spans="1:26" ht="15.75" customHeight="1">
      <c r="A82" s="61"/>
      <c r="B82" s="72" t="s">
        <v>755</v>
      </c>
      <c r="C82" s="72" t="s">
        <v>756</v>
      </c>
      <c r="D82" s="72" t="s">
        <v>697</v>
      </c>
      <c r="E82" s="73" t="s">
        <v>757</v>
      </c>
      <c r="F82" s="73" t="s">
        <v>758</v>
      </c>
      <c r="G82" s="72" t="s">
        <v>759</v>
      </c>
      <c r="H82" s="72" t="s">
        <v>760</v>
      </c>
      <c r="I82" s="74" t="s">
        <v>761</v>
      </c>
      <c r="J82" s="74" t="s">
        <v>762</v>
      </c>
      <c r="K82" s="39"/>
      <c r="L82" s="39"/>
      <c r="M82" s="39"/>
      <c r="N82" s="39"/>
      <c r="O82" s="39"/>
      <c r="P82" s="39"/>
      <c r="Q82" s="39"/>
      <c r="R82" s="39"/>
      <c r="S82" s="39"/>
      <c r="T82" s="39"/>
      <c r="U82" s="39"/>
      <c r="V82" s="39"/>
      <c r="W82" s="39"/>
      <c r="X82" s="39"/>
      <c r="Y82" s="39"/>
      <c r="Z82" s="39"/>
    </row>
    <row r="83" spans="1:26" ht="15.75" customHeight="1">
      <c r="A83" s="61"/>
      <c r="B83" s="75">
        <v>1</v>
      </c>
      <c r="C83" s="76" t="s">
        <v>763</v>
      </c>
      <c r="D83" s="76" t="s">
        <v>764</v>
      </c>
      <c r="E83" s="82">
        <f>$E$15</f>
        <v>6500</v>
      </c>
      <c r="F83" s="82"/>
      <c r="G83" s="75">
        <v>1</v>
      </c>
      <c r="H83" s="75">
        <f>B80</f>
        <v>1</v>
      </c>
      <c r="I83" s="91">
        <f t="shared" ref="I83:I87" si="7">E83*G83*H83</f>
        <v>6500</v>
      </c>
      <c r="J83" s="82">
        <f t="shared" ref="J83:J91" si="8">I83/2</f>
        <v>3250</v>
      </c>
      <c r="K83" s="39"/>
      <c r="L83" s="39"/>
      <c r="M83" s="39"/>
      <c r="N83" s="39"/>
      <c r="O83" s="39"/>
      <c r="P83" s="39"/>
      <c r="Q83" s="39"/>
      <c r="R83" s="39"/>
      <c r="S83" s="39"/>
      <c r="T83" s="39"/>
      <c r="U83" s="39"/>
      <c r="V83" s="39"/>
      <c r="W83" s="39"/>
      <c r="X83" s="39"/>
      <c r="Y83" s="39"/>
      <c r="Z83" s="39"/>
    </row>
    <row r="84" spans="1:26" ht="15.75" customHeight="1">
      <c r="A84" s="61"/>
      <c r="B84" s="75">
        <v>2</v>
      </c>
      <c r="C84" s="76" t="s">
        <v>742</v>
      </c>
      <c r="D84" s="76" t="s">
        <v>765</v>
      </c>
      <c r="E84" s="82">
        <f>$E$27</f>
        <v>1235</v>
      </c>
      <c r="F84" s="82"/>
      <c r="G84" s="75">
        <f>B79</f>
        <v>3</v>
      </c>
      <c r="H84" s="75">
        <v>1</v>
      </c>
      <c r="I84" s="91">
        <f t="shared" si="7"/>
        <v>3705</v>
      </c>
      <c r="J84" s="82">
        <f t="shared" si="8"/>
        <v>1852.5</v>
      </c>
      <c r="K84" s="39"/>
      <c r="L84" s="39"/>
      <c r="M84" s="39"/>
      <c r="N84" s="39"/>
      <c r="O84" s="39"/>
      <c r="P84" s="39"/>
      <c r="Q84" s="39"/>
      <c r="R84" s="39"/>
      <c r="S84" s="39"/>
      <c r="T84" s="39"/>
      <c r="U84" s="39"/>
      <c r="V84" s="39"/>
      <c r="W84" s="39"/>
      <c r="X84" s="39"/>
      <c r="Y84" s="39"/>
      <c r="Z84" s="39"/>
    </row>
    <row r="85" spans="1:26" ht="15.75" customHeight="1">
      <c r="A85" s="61"/>
      <c r="B85" s="75">
        <v>3</v>
      </c>
      <c r="C85" s="79" t="s">
        <v>766</v>
      </c>
      <c r="D85" s="76" t="s">
        <v>765</v>
      </c>
      <c r="E85" s="92">
        <f>$E$14</f>
        <v>300</v>
      </c>
      <c r="F85" s="82"/>
      <c r="G85" s="75">
        <f>B78+B81</f>
        <v>20</v>
      </c>
      <c r="H85" s="75">
        <f>B80</f>
        <v>1</v>
      </c>
      <c r="I85" s="91">
        <f t="shared" si="7"/>
        <v>6000</v>
      </c>
      <c r="J85" s="82">
        <f t="shared" si="8"/>
        <v>3000</v>
      </c>
      <c r="K85" s="39"/>
      <c r="L85" s="39"/>
      <c r="M85" s="39"/>
      <c r="N85" s="39"/>
      <c r="O85" s="39"/>
      <c r="P85" s="39"/>
      <c r="Q85" s="39"/>
      <c r="R85" s="39"/>
      <c r="S85" s="39"/>
      <c r="T85" s="39"/>
      <c r="U85" s="39"/>
      <c r="V85" s="39"/>
      <c r="W85" s="39"/>
      <c r="X85" s="39"/>
      <c r="Y85" s="39"/>
      <c r="Z85" s="39"/>
    </row>
    <row r="86" spans="1:26" ht="15.75" customHeight="1">
      <c r="A86" s="61"/>
      <c r="B86" s="75">
        <v>5</v>
      </c>
      <c r="C86" s="76" t="s">
        <v>775</v>
      </c>
      <c r="D86" s="76" t="s">
        <v>765</v>
      </c>
      <c r="E86" s="82">
        <f>$E$16</f>
        <v>1175</v>
      </c>
      <c r="F86" s="82"/>
      <c r="G86" s="75">
        <f>B79</f>
        <v>3</v>
      </c>
      <c r="H86" s="75">
        <v>0.5</v>
      </c>
      <c r="I86" s="91">
        <f t="shared" si="7"/>
        <v>1762.5</v>
      </c>
      <c r="J86" s="82">
        <f t="shared" si="8"/>
        <v>881.25</v>
      </c>
      <c r="K86" s="39"/>
      <c r="L86" s="39"/>
      <c r="M86" s="39"/>
      <c r="N86" s="39"/>
      <c r="O86" s="39"/>
      <c r="P86" s="39"/>
      <c r="Q86" s="39"/>
      <c r="R86" s="39"/>
      <c r="S86" s="39"/>
      <c r="T86" s="39"/>
      <c r="U86" s="39"/>
      <c r="V86" s="39"/>
      <c r="W86" s="39"/>
      <c r="X86" s="39"/>
      <c r="Y86" s="39"/>
      <c r="Z86" s="39"/>
    </row>
    <row r="87" spans="1:26" ht="15.75" customHeight="1">
      <c r="A87" s="61"/>
      <c r="B87" s="75">
        <v>6</v>
      </c>
      <c r="C87" s="76" t="s">
        <v>713</v>
      </c>
      <c r="D87" s="76" t="s">
        <v>765</v>
      </c>
      <c r="E87" s="82">
        <f>$E$17</f>
        <v>100</v>
      </c>
      <c r="F87" s="82"/>
      <c r="G87" s="75">
        <f>B78</f>
        <v>20</v>
      </c>
      <c r="H87" s="75">
        <v>1</v>
      </c>
      <c r="I87" s="91">
        <f t="shared" si="7"/>
        <v>2000</v>
      </c>
      <c r="J87" s="82">
        <f t="shared" si="8"/>
        <v>1000</v>
      </c>
      <c r="K87" s="39"/>
      <c r="L87" s="39"/>
      <c r="M87" s="39"/>
      <c r="N87" s="39"/>
      <c r="O87" s="39"/>
      <c r="P87" s="39"/>
      <c r="Q87" s="39"/>
      <c r="R87" s="39"/>
      <c r="S87" s="39"/>
      <c r="T87" s="39"/>
      <c r="U87" s="39"/>
      <c r="V87" s="39"/>
      <c r="W87" s="39"/>
      <c r="X87" s="39"/>
      <c r="Y87" s="39"/>
      <c r="Z87" s="39"/>
    </row>
    <row r="88" spans="1:26" ht="15.75" customHeight="1">
      <c r="A88" s="61"/>
      <c r="B88" s="75">
        <v>7</v>
      </c>
      <c r="C88" s="76" t="s">
        <v>717</v>
      </c>
      <c r="D88" s="76" t="s">
        <v>768</v>
      </c>
      <c r="E88" s="81">
        <f>E18</f>
        <v>0.1</v>
      </c>
      <c r="F88" s="81"/>
      <c r="G88" s="75"/>
      <c r="H88" s="75"/>
      <c r="I88" s="91">
        <f>SUM(I83:I87)*E88</f>
        <v>1996.75</v>
      </c>
      <c r="J88" s="82">
        <f t="shared" si="8"/>
        <v>998.375</v>
      </c>
      <c r="K88" s="39"/>
      <c r="L88" s="39"/>
      <c r="M88" s="39"/>
      <c r="N88" s="39"/>
      <c r="O88" s="39"/>
      <c r="P88" s="39"/>
      <c r="Q88" s="39"/>
      <c r="R88" s="39"/>
      <c r="S88" s="39"/>
      <c r="T88" s="39"/>
      <c r="U88" s="39"/>
      <c r="V88" s="39"/>
      <c r="W88" s="39"/>
      <c r="X88" s="39"/>
      <c r="Y88" s="39"/>
      <c r="Z88" s="39"/>
    </row>
    <row r="89" spans="1:26" ht="15.75" customHeight="1">
      <c r="A89" s="61"/>
      <c r="B89" s="75">
        <v>8</v>
      </c>
      <c r="C89" s="76" t="s">
        <v>769</v>
      </c>
      <c r="D89" s="76" t="s">
        <v>764</v>
      </c>
      <c r="E89" s="82">
        <f>$E$13</f>
        <v>3334</v>
      </c>
      <c r="F89" s="82"/>
      <c r="G89" s="75">
        <f>B81</f>
        <v>0</v>
      </c>
      <c r="H89" s="75">
        <f>B80</f>
        <v>1</v>
      </c>
      <c r="I89" s="91">
        <f>E89*G89*H89</f>
        <v>0</v>
      </c>
      <c r="J89" s="82">
        <f t="shared" si="8"/>
        <v>0</v>
      </c>
      <c r="K89" s="39"/>
      <c r="L89" s="39"/>
      <c r="M89" s="39"/>
      <c r="N89" s="39"/>
      <c r="O89" s="39"/>
      <c r="P89" s="39"/>
      <c r="Q89" s="39"/>
      <c r="R89" s="39"/>
      <c r="S89" s="39"/>
      <c r="T89" s="39"/>
      <c r="U89" s="39"/>
      <c r="V89" s="39"/>
      <c r="W89" s="39"/>
      <c r="X89" s="39"/>
      <c r="Y89" s="39"/>
      <c r="Z89" s="39"/>
    </row>
    <row r="90" spans="1:26" ht="15.75" customHeight="1">
      <c r="A90" s="61"/>
      <c r="B90" s="83"/>
      <c r="C90" s="83" t="s">
        <v>770</v>
      </c>
      <c r="D90" s="83"/>
      <c r="E90" s="83"/>
      <c r="F90" s="84"/>
      <c r="G90" s="85"/>
      <c r="H90" s="85"/>
      <c r="I90" s="687">
        <f>SUM(I83:I89)</f>
        <v>21964.25</v>
      </c>
      <c r="J90" s="86">
        <f t="shared" si="8"/>
        <v>10982.125</v>
      </c>
      <c r="K90" s="93" t="e" vm="1">
        <f>J90/[2]Setup!F49</f>
        <v>#VALUE!</v>
      </c>
      <c r="L90" s="39"/>
      <c r="M90" s="39"/>
      <c r="N90" s="39"/>
      <c r="O90" s="39"/>
      <c r="P90" s="39"/>
      <c r="Q90" s="39"/>
      <c r="R90" s="39"/>
      <c r="S90" s="39"/>
      <c r="T90" s="39"/>
      <c r="U90" s="39"/>
      <c r="V90" s="39"/>
      <c r="W90" s="39"/>
      <c r="X90" s="39"/>
      <c r="Y90" s="39"/>
      <c r="Z90" s="39"/>
    </row>
    <row r="91" spans="1:26" ht="15.75" customHeight="1">
      <c r="A91" s="39"/>
      <c r="B91" s="39"/>
      <c r="C91" s="39"/>
      <c r="D91" s="39"/>
      <c r="E91" s="39"/>
      <c r="F91" s="39"/>
      <c r="G91" s="39"/>
      <c r="H91" s="87" t="s">
        <v>771</v>
      </c>
      <c r="I91" s="88">
        <f>I90/B78/B80</f>
        <v>1098.2125000000001</v>
      </c>
      <c r="J91" s="89">
        <f t="shared" si="8"/>
        <v>549.10625000000005</v>
      </c>
      <c r="K91" s="39"/>
      <c r="L91" s="39"/>
      <c r="M91" s="39"/>
      <c r="N91" s="39"/>
      <c r="O91" s="39"/>
      <c r="P91" s="39"/>
      <c r="Q91" s="39"/>
      <c r="R91" s="39"/>
      <c r="S91" s="39"/>
      <c r="T91" s="39"/>
      <c r="U91" s="39"/>
      <c r="V91" s="39"/>
      <c r="W91" s="39"/>
      <c r="X91" s="39"/>
      <c r="Y91" s="39"/>
      <c r="Z91" s="39"/>
    </row>
    <row r="92" spans="1:26" ht="15.75" customHeight="1">
      <c r="A92" s="39"/>
      <c r="B92" s="39"/>
      <c r="C92" s="39"/>
      <c r="D92" s="39"/>
      <c r="E92" s="39"/>
      <c r="F92" s="39"/>
      <c r="G92" s="39"/>
      <c r="H92" s="90" t="s">
        <v>772</v>
      </c>
      <c r="I92" s="688">
        <f>B78*B80</f>
        <v>20</v>
      </c>
      <c r="J92" s="64"/>
      <c r="K92" s="39"/>
      <c r="L92" s="39"/>
      <c r="M92" s="39"/>
      <c r="N92" s="39"/>
      <c r="O92" s="39"/>
      <c r="P92" s="39"/>
      <c r="Q92" s="39"/>
      <c r="R92" s="39"/>
      <c r="S92" s="39"/>
      <c r="T92" s="39"/>
      <c r="U92" s="39"/>
      <c r="V92" s="39"/>
      <c r="W92" s="39"/>
      <c r="X92" s="39"/>
      <c r="Y92" s="39"/>
      <c r="Z92" s="39"/>
    </row>
    <row r="93" spans="1:26" ht="15.75" customHeight="1">
      <c r="A93" s="39"/>
      <c r="B93" s="39"/>
      <c r="C93" s="39"/>
      <c r="D93" s="39"/>
      <c r="E93" s="39"/>
      <c r="F93" s="39"/>
      <c r="G93" s="39"/>
      <c r="H93" s="66"/>
      <c r="I93" s="66"/>
      <c r="J93" s="39"/>
      <c r="K93" s="39"/>
      <c r="L93" s="39"/>
      <c r="M93" s="39"/>
      <c r="N93" s="39"/>
      <c r="O93" s="39"/>
      <c r="P93" s="39"/>
      <c r="Q93" s="39"/>
      <c r="R93" s="39"/>
      <c r="S93" s="39"/>
      <c r="T93" s="39"/>
      <c r="U93" s="39"/>
      <c r="V93" s="39"/>
      <c r="W93" s="39"/>
      <c r="X93" s="39"/>
      <c r="Y93" s="39"/>
      <c r="Z93" s="39"/>
    </row>
    <row r="94" spans="1:26" ht="15.75" customHeight="1">
      <c r="A94" s="39"/>
      <c r="B94" s="39"/>
      <c r="C94" s="39"/>
      <c r="D94" s="39"/>
      <c r="E94" s="39"/>
      <c r="F94" s="39"/>
      <c r="G94" s="39"/>
      <c r="H94" s="66"/>
      <c r="I94" s="66"/>
      <c r="J94" s="39"/>
      <c r="K94" s="39"/>
      <c r="L94" s="39"/>
      <c r="M94" s="39"/>
      <c r="N94" s="39"/>
      <c r="O94" s="39"/>
      <c r="P94" s="39"/>
      <c r="Q94" s="39"/>
      <c r="R94" s="39"/>
      <c r="S94" s="39"/>
      <c r="T94" s="39"/>
      <c r="U94" s="39"/>
      <c r="V94" s="39"/>
      <c r="W94" s="39"/>
      <c r="X94" s="39"/>
      <c r="Y94" s="39"/>
      <c r="Z94" s="39"/>
    </row>
    <row r="95" spans="1:26" ht="15.75" customHeight="1">
      <c r="A95" s="39"/>
      <c r="B95" s="39"/>
      <c r="C95" s="39"/>
      <c r="D95" s="39"/>
      <c r="E95" s="39"/>
      <c r="F95" s="39"/>
      <c r="G95" s="39"/>
      <c r="H95" s="66"/>
      <c r="I95" s="66"/>
      <c r="J95" s="39"/>
      <c r="K95" s="39"/>
      <c r="L95" s="39"/>
      <c r="M95" s="39"/>
      <c r="N95" s="39"/>
      <c r="O95" s="39"/>
      <c r="P95" s="39"/>
      <c r="Q95" s="39"/>
      <c r="R95" s="39"/>
      <c r="S95" s="39"/>
      <c r="T95" s="39"/>
      <c r="U95" s="39"/>
      <c r="V95" s="39"/>
      <c r="W95" s="39"/>
      <c r="X95" s="39"/>
      <c r="Y95" s="39"/>
      <c r="Z95" s="39"/>
    </row>
    <row r="96" spans="1:26" ht="15.75" customHeight="1">
      <c r="A96" s="683" t="s">
        <v>777</v>
      </c>
      <c r="B96" s="684" t="str">
        <f>"Training/round table/seminar ("&amp;B99&amp;"-day event)"</f>
        <v>Training/round table/seminar (3-day event)</v>
      </c>
      <c r="C96" s="683"/>
      <c r="D96" s="683"/>
      <c r="E96" s="683"/>
      <c r="F96" s="683"/>
      <c r="G96" s="683"/>
      <c r="H96" s="683"/>
      <c r="I96" s="683"/>
      <c r="J96" s="683"/>
      <c r="K96" s="39"/>
      <c r="L96" s="39"/>
      <c r="M96" s="39"/>
      <c r="N96" s="39"/>
      <c r="O96" s="39"/>
      <c r="P96" s="39"/>
      <c r="Q96" s="39"/>
      <c r="R96" s="39"/>
      <c r="S96" s="39"/>
      <c r="T96" s="39"/>
      <c r="U96" s="39"/>
      <c r="V96" s="39"/>
      <c r="W96" s="39"/>
      <c r="X96" s="39"/>
      <c r="Y96" s="39"/>
      <c r="Z96" s="39"/>
    </row>
    <row r="97" spans="1:26" ht="15.75" customHeight="1">
      <c r="A97" s="61"/>
      <c r="B97" s="685">
        <v>10</v>
      </c>
      <c r="C97" s="61" t="s">
        <v>751</v>
      </c>
      <c r="D97" s="61"/>
      <c r="E97" s="61"/>
      <c r="F97" s="67"/>
      <c r="G97" s="63"/>
      <c r="H97" s="63"/>
      <c r="I97" s="64"/>
      <c r="J97" s="39"/>
      <c r="K97" s="39"/>
      <c r="L97" s="39"/>
      <c r="M97" s="39"/>
      <c r="N97" s="39"/>
      <c r="O97" s="39"/>
      <c r="P97" s="39"/>
      <c r="Q97" s="39"/>
      <c r="R97" s="39"/>
      <c r="S97" s="39"/>
      <c r="T97" s="39"/>
      <c r="U97" s="39"/>
      <c r="V97" s="39"/>
      <c r="W97" s="39"/>
      <c r="X97" s="39"/>
      <c r="Y97" s="39"/>
      <c r="Z97" s="39"/>
    </row>
    <row r="98" spans="1:26" ht="15.75" customHeight="1">
      <c r="A98" s="68"/>
      <c r="B98" s="685">
        <f>B97*80%</f>
        <v>8</v>
      </c>
      <c r="C98" s="61" t="s">
        <v>752</v>
      </c>
      <c r="D98" s="61"/>
      <c r="E98" s="61"/>
      <c r="F98" s="67"/>
      <c r="G98" s="63"/>
      <c r="H98" s="69"/>
      <c r="I98" s="70"/>
      <c r="J98" s="39"/>
      <c r="K98" s="39"/>
      <c r="L98" s="39"/>
      <c r="M98" s="39"/>
      <c r="N98" s="39"/>
      <c r="O98" s="39"/>
      <c r="P98" s="39"/>
      <c r="Q98" s="39"/>
      <c r="R98" s="39"/>
      <c r="S98" s="39"/>
      <c r="T98" s="39"/>
      <c r="U98" s="39"/>
      <c r="V98" s="39"/>
      <c r="W98" s="39"/>
      <c r="X98" s="39"/>
      <c r="Y98" s="39"/>
      <c r="Z98" s="39"/>
    </row>
    <row r="99" spans="1:26" ht="15.75" customHeight="1">
      <c r="A99" s="61"/>
      <c r="B99" s="685">
        <v>3</v>
      </c>
      <c r="C99" s="61" t="s">
        <v>753</v>
      </c>
      <c r="D99" s="61"/>
      <c r="E99" s="61"/>
      <c r="F99" s="71"/>
      <c r="G99" s="63"/>
      <c r="H99" s="63"/>
      <c r="I99" s="64"/>
      <c r="J99" s="39"/>
      <c r="K99" s="39"/>
      <c r="L99" s="39"/>
      <c r="M99" s="39"/>
      <c r="N99" s="39"/>
      <c r="O99" s="39"/>
      <c r="P99" s="39"/>
      <c r="Q99" s="39"/>
      <c r="R99" s="39"/>
      <c r="S99" s="39"/>
      <c r="T99" s="39"/>
      <c r="U99" s="39"/>
      <c r="V99" s="39"/>
      <c r="W99" s="39"/>
      <c r="X99" s="39"/>
      <c r="Y99" s="39"/>
      <c r="Z99" s="39"/>
    </row>
    <row r="100" spans="1:26" ht="15.75" customHeight="1">
      <c r="A100" s="61"/>
      <c r="B100" s="685">
        <v>1</v>
      </c>
      <c r="C100" s="61" t="s">
        <v>774</v>
      </c>
      <c r="D100" s="61"/>
      <c r="E100" s="61"/>
      <c r="F100" s="71"/>
      <c r="G100" s="63"/>
      <c r="H100" s="63"/>
      <c r="I100" s="64"/>
      <c r="J100" s="39"/>
      <c r="K100" s="39"/>
      <c r="L100" s="39"/>
      <c r="M100" s="39"/>
      <c r="N100" s="39"/>
      <c r="O100" s="39"/>
      <c r="P100" s="39"/>
      <c r="Q100" s="39"/>
      <c r="R100" s="39"/>
      <c r="S100" s="39"/>
      <c r="T100" s="39"/>
      <c r="U100" s="39"/>
      <c r="V100" s="39"/>
      <c r="W100" s="39"/>
      <c r="X100" s="39"/>
      <c r="Y100" s="39"/>
      <c r="Z100" s="39"/>
    </row>
    <row r="101" spans="1:26" ht="15.75" customHeight="1">
      <c r="A101" s="61"/>
      <c r="B101" s="72" t="s">
        <v>755</v>
      </c>
      <c r="C101" s="72" t="s">
        <v>756</v>
      </c>
      <c r="D101" s="72" t="s">
        <v>697</v>
      </c>
      <c r="E101" s="73" t="s">
        <v>757</v>
      </c>
      <c r="F101" s="73" t="s">
        <v>758</v>
      </c>
      <c r="G101" s="72" t="s">
        <v>759</v>
      </c>
      <c r="H101" s="72" t="s">
        <v>760</v>
      </c>
      <c r="I101" s="686" t="s">
        <v>761</v>
      </c>
      <c r="J101" s="74" t="s">
        <v>762</v>
      </c>
      <c r="K101" s="39"/>
      <c r="L101" s="39"/>
      <c r="M101" s="39"/>
      <c r="N101" s="39"/>
      <c r="O101" s="39"/>
      <c r="P101" s="39"/>
      <c r="Q101" s="39"/>
      <c r="R101" s="39"/>
      <c r="S101" s="39"/>
      <c r="T101" s="39"/>
      <c r="U101" s="39"/>
      <c r="V101" s="39"/>
      <c r="W101" s="39"/>
      <c r="X101" s="39"/>
      <c r="Y101" s="39"/>
      <c r="Z101" s="39"/>
    </row>
    <row r="102" spans="1:26" ht="15.75" customHeight="1">
      <c r="A102" s="61"/>
      <c r="B102" s="75">
        <v>1</v>
      </c>
      <c r="C102" s="76" t="s">
        <v>763</v>
      </c>
      <c r="D102" s="76" t="s">
        <v>764</v>
      </c>
      <c r="E102" s="82">
        <f>$E$15</f>
        <v>6500</v>
      </c>
      <c r="F102" s="82"/>
      <c r="G102" s="75">
        <v>1</v>
      </c>
      <c r="H102" s="75">
        <f>B99</f>
        <v>3</v>
      </c>
      <c r="I102" s="91">
        <f t="shared" ref="I102:I106" si="9">E102*G102*H102</f>
        <v>19500</v>
      </c>
      <c r="J102" s="82">
        <f t="shared" ref="J102:J110" si="10">I102/2</f>
        <v>9750</v>
      </c>
      <c r="K102" s="39"/>
      <c r="L102" s="39"/>
      <c r="M102" s="39"/>
      <c r="N102" s="39"/>
      <c r="O102" s="39"/>
      <c r="P102" s="39"/>
      <c r="Q102" s="39"/>
      <c r="R102" s="39"/>
      <c r="S102" s="39"/>
      <c r="T102" s="39"/>
      <c r="U102" s="39"/>
      <c r="V102" s="39"/>
      <c r="W102" s="39"/>
      <c r="X102" s="39"/>
      <c r="Y102" s="39"/>
      <c r="Z102" s="39"/>
    </row>
    <row r="103" spans="1:26" ht="15.75" customHeight="1">
      <c r="A103" s="61"/>
      <c r="B103" s="75">
        <v>2</v>
      </c>
      <c r="C103" s="76" t="s">
        <v>742</v>
      </c>
      <c r="D103" s="76" t="s">
        <v>765</v>
      </c>
      <c r="E103" s="82">
        <f>$E$27</f>
        <v>1235</v>
      </c>
      <c r="F103" s="82"/>
      <c r="G103" s="75">
        <f>B98</f>
        <v>8</v>
      </c>
      <c r="H103" s="75">
        <v>1</v>
      </c>
      <c r="I103" s="91">
        <f t="shared" si="9"/>
        <v>9880</v>
      </c>
      <c r="J103" s="82">
        <f t="shared" si="10"/>
        <v>4940</v>
      </c>
      <c r="K103" s="39"/>
      <c r="L103" s="39"/>
      <c r="M103" s="39"/>
      <c r="N103" s="39"/>
      <c r="O103" s="39"/>
      <c r="P103" s="39"/>
      <c r="Q103" s="39"/>
      <c r="R103" s="39"/>
      <c r="S103" s="39"/>
      <c r="T103" s="39"/>
      <c r="U103" s="39"/>
      <c r="V103" s="39"/>
      <c r="W103" s="39"/>
      <c r="X103" s="39"/>
      <c r="Y103" s="39"/>
      <c r="Z103" s="39"/>
    </row>
    <row r="104" spans="1:26" ht="15.75" customHeight="1">
      <c r="A104" s="61"/>
      <c r="B104" s="75">
        <v>3</v>
      </c>
      <c r="C104" s="79" t="s">
        <v>766</v>
      </c>
      <c r="D104" s="76" t="s">
        <v>765</v>
      </c>
      <c r="E104" s="92">
        <f>$E$14</f>
        <v>300</v>
      </c>
      <c r="F104" s="82"/>
      <c r="G104" s="75">
        <f>B97+B100</f>
        <v>11</v>
      </c>
      <c r="H104" s="75">
        <f>B99</f>
        <v>3</v>
      </c>
      <c r="I104" s="91">
        <f t="shared" si="9"/>
        <v>9900</v>
      </c>
      <c r="J104" s="82">
        <f t="shared" si="10"/>
        <v>4950</v>
      </c>
      <c r="K104" s="39"/>
      <c r="L104" s="39"/>
      <c r="M104" s="39"/>
      <c r="N104" s="39"/>
      <c r="O104" s="39"/>
      <c r="P104" s="39"/>
      <c r="Q104" s="39"/>
      <c r="R104" s="39"/>
      <c r="S104" s="39"/>
      <c r="T104" s="39"/>
      <c r="U104" s="39"/>
      <c r="V104" s="39"/>
      <c r="W104" s="39"/>
      <c r="X104" s="39"/>
      <c r="Y104" s="39"/>
      <c r="Z104" s="39"/>
    </row>
    <row r="105" spans="1:26" ht="15.75" customHeight="1">
      <c r="A105" s="61"/>
      <c r="B105" s="75">
        <v>5</v>
      </c>
      <c r="C105" s="76" t="s">
        <v>775</v>
      </c>
      <c r="D105" s="76" t="s">
        <v>765</v>
      </c>
      <c r="E105" s="82">
        <f>$E$16</f>
        <v>1175</v>
      </c>
      <c r="F105" s="82"/>
      <c r="G105" s="75">
        <f>B98</f>
        <v>8</v>
      </c>
      <c r="H105" s="75">
        <f>B99-0.5</f>
        <v>2.5</v>
      </c>
      <c r="I105" s="91">
        <f t="shared" si="9"/>
        <v>23500</v>
      </c>
      <c r="J105" s="82">
        <f t="shared" si="10"/>
        <v>11750</v>
      </c>
      <c r="K105" s="39"/>
      <c r="L105" s="39"/>
      <c r="M105" s="39"/>
      <c r="N105" s="39"/>
      <c r="O105" s="39"/>
      <c r="P105" s="39"/>
      <c r="Q105" s="39"/>
      <c r="R105" s="39"/>
      <c r="S105" s="39"/>
      <c r="T105" s="39"/>
      <c r="U105" s="39"/>
      <c r="V105" s="39"/>
      <c r="W105" s="39"/>
      <c r="X105" s="39"/>
      <c r="Y105" s="39"/>
      <c r="Z105" s="39"/>
    </row>
    <row r="106" spans="1:26" ht="15.75" customHeight="1">
      <c r="A106" s="61"/>
      <c r="B106" s="75">
        <v>6</v>
      </c>
      <c r="C106" s="76" t="s">
        <v>713</v>
      </c>
      <c r="D106" s="76" t="s">
        <v>765</v>
      </c>
      <c r="E106" s="82">
        <f>$E$17</f>
        <v>100</v>
      </c>
      <c r="F106" s="82"/>
      <c r="G106" s="75">
        <f>B97</f>
        <v>10</v>
      </c>
      <c r="H106" s="75">
        <v>1</v>
      </c>
      <c r="I106" s="91">
        <f t="shared" si="9"/>
        <v>1000</v>
      </c>
      <c r="J106" s="82">
        <f t="shared" si="10"/>
        <v>500</v>
      </c>
      <c r="K106" s="39"/>
      <c r="L106" s="39"/>
      <c r="M106" s="39"/>
      <c r="N106" s="39"/>
      <c r="O106" s="39"/>
      <c r="P106" s="39"/>
      <c r="Q106" s="39"/>
      <c r="R106" s="39"/>
      <c r="S106" s="39"/>
      <c r="T106" s="39"/>
      <c r="U106" s="39"/>
      <c r="V106" s="39"/>
      <c r="W106" s="39"/>
      <c r="X106" s="39"/>
      <c r="Y106" s="39"/>
      <c r="Z106" s="39"/>
    </row>
    <row r="107" spans="1:26" ht="15.75" customHeight="1">
      <c r="A107" s="61"/>
      <c r="B107" s="75">
        <v>7</v>
      </c>
      <c r="C107" s="76" t="s">
        <v>717</v>
      </c>
      <c r="D107" s="76" t="s">
        <v>768</v>
      </c>
      <c r="E107" s="81">
        <f>E18</f>
        <v>0.1</v>
      </c>
      <c r="F107" s="81"/>
      <c r="G107" s="75"/>
      <c r="H107" s="75"/>
      <c r="I107" s="91">
        <f>SUM(I102:I106)*E107</f>
        <v>6378</v>
      </c>
      <c r="J107" s="82">
        <f t="shared" si="10"/>
        <v>3189</v>
      </c>
      <c r="K107" s="39"/>
      <c r="L107" s="39"/>
      <c r="M107" s="39"/>
      <c r="N107" s="39"/>
      <c r="O107" s="39"/>
      <c r="P107" s="39"/>
      <c r="Q107" s="39"/>
      <c r="R107" s="39"/>
      <c r="S107" s="39"/>
      <c r="T107" s="39"/>
      <c r="U107" s="39"/>
      <c r="V107" s="39"/>
      <c r="W107" s="39"/>
      <c r="X107" s="39"/>
      <c r="Y107" s="39"/>
      <c r="Z107" s="39"/>
    </row>
    <row r="108" spans="1:26" ht="15.75" customHeight="1">
      <c r="A108" s="61"/>
      <c r="B108" s="75">
        <v>8</v>
      </c>
      <c r="C108" s="76" t="s">
        <v>769</v>
      </c>
      <c r="D108" s="76" t="s">
        <v>764</v>
      </c>
      <c r="E108" s="82">
        <f>$E$13</f>
        <v>3334</v>
      </c>
      <c r="F108" s="82"/>
      <c r="G108" s="75">
        <f>B100</f>
        <v>1</v>
      </c>
      <c r="H108" s="75">
        <f>B99</f>
        <v>3</v>
      </c>
      <c r="I108" s="91">
        <f>E108*G108*H108</f>
        <v>10002</v>
      </c>
      <c r="J108" s="82">
        <f t="shared" si="10"/>
        <v>5001</v>
      </c>
      <c r="K108" s="39"/>
      <c r="L108" s="39"/>
      <c r="M108" s="39"/>
      <c r="N108" s="39"/>
      <c r="O108" s="39"/>
      <c r="P108" s="39"/>
      <c r="Q108" s="39"/>
      <c r="R108" s="39"/>
      <c r="S108" s="39"/>
      <c r="T108" s="39"/>
      <c r="U108" s="39"/>
      <c r="V108" s="39"/>
      <c r="W108" s="39"/>
      <c r="X108" s="39"/>
      <c r="Y108" s="39"/>
      <c r="Z108" s="39"/>
    </row>
    <row r="109" spans="1:26" ht="15.75" customHeight="1">
      <c r="A109" s="61"/>
      <c r="B109" s="83"/>
      <c r="C109" s="83" t="s">
        <v>770</v>
      </c>
      <c r="D109" s="83"/>
      <c r="E109" s="83"/>
      <c r="F109" s="84"/>
      <c r="G109" s="85"/>
      <c r="H109" s="85"/>
      <c r="I109" s="687">
        <f>SUM(I102:I108)</f>
        <v>80160</v>
      </c>
      <c r="J109" s="86">
        <f t="shared" si="10"/>
        <v>40080</v>
      </c>
      <c r="K109" s="39"/>
      <c r="L109" s="39"/>
      <c r="M109" s="39"/>
      <c r="N109" s="39"/>
      <c r="O109" s="39"/>
      <c r="P109" s="39"/>
      <c r="Q109" s="39"/>
      <c r="R109" s="39"/>
      <c r="S109" s="39"/>
      <c r="T109" s="39"/>
      <c r="U109" s="39"/>
      <c r="V109" s="39"/>
      <c r="W109" s="39"/>
      <c r="X109" s="39"/>
      <c r="Y109" s="39"/>
      <c r="Z109" s="39"/>
    </row>
    <row r="110" spans="1:26" ht="15.75" customHeight="1">
      <c r="A110" s="39"/>
      <c r="B110" s="39"/>
      <c r="C110" s="39"/>
      <c r="D110" s="39"/>
      <c r="E110" s="39"/>
      <c r="F110" s="39"/>
      <c r="G110" s="39"/>
      <c r="H110" s="87" t="s">
        <v>771</v>
      </c>
      <c r="I110" s="88">
        <f>I109/B97/B99</f>
        <v>2672</v>
      </c>
      <c r="J110" s="94">
        <f t="shared" si="10"/>
        <v>1336</v>
      </c>
      <c r="K110" s="39"/>
      <c r="L110" s="39"/>
      <c r="M110" s="39"/>
      <c r="N110" s="39"/>
      <c r="O110" s="39"/>
      <c r="P110" s="39"/>
      <c r="Q110" s="39"/>
      <c r="R110" s="39"/>
      <c r="S110" s="39"/>
      <c r="T110" s="39"/>
      <c r="U110" s="39"/>
      <c r="V110" s="39"/>
      <c r="W110" s="39"/>
      <c r="X110" s="39"/>
      <c r="Y110" s="39"/>
      <c r="Z110" s="39"/>
    </row>
    <row r="111" spans="1:26" ht="15.75" customHeight="1">
      <c r="A111" s="39"/>
      <c r="B111" s="39"/>
      <c r="C111" s="39"/>
      <c r="D111" s="39"/>
      <c r="E111" s="39"/>
      <c r="F111" s="39"/>
      <c r="G111" s="39"/>
      <c r="H111" s="90" t="s">
        <v>772</v>
      </c>
      <c r="I111" s="688">
        <f>B97*B99</f>
        <v>30</v>
      </c>
      <c r="J111" s="64"/>
      <c r="K111" s="39"/>
      <c r="L111" s="39"/>
      <c r="M111" s="39"/>
      <c r="N111" s="39"/>
      <c r="O111" s="39"/>
      <c r="P111" s="39"/>
      <c r="Q111" s="39"/>
      <c r="R111" s="39"/>
      <c r="S111" s="39"/>
      <c r="T111" s="39"/>
      <c r="U111" s="39"/>
      <c r="V111" s="39"/>
      <c r="W111" s="39"/>
      <c r="X111" s="39"/>
      <c r="Y111" s="39"/>
      <c r="Z111" s="39"/>
    </row>
    <row r="112" spans="1:26" ht="15.75" customHeight="1">
      <c r="A112" s="39"/>
      <c r="B112" s="39"/>
      <c r="C112" s="39"/>
      <c r="D112" s="39"/>
      <c r="E112" s="39"/>
      <c r="F112" s="39"/>
      <c r="G112" s="39"/>
      <c r="H112" s="66"/>
      <c r="I112" s="66"/>
      <c r="J112" s="64"/>
      <c r="K112" s="39"/>
      <c r="L112" s="39"/>
      <c r="M112" s="39"/>
      <c r="N112" s="39"/>
      <c r="O112" s="39"/>
      <c r="P112" s="39"/>
      <c r="Q112" s="39"/>
      <c r="R112" s="39"/>
      <c r="S112" s="39"/>
      <c r="T112" s="39"/>
      <c r="U112" s="39"/>
      <c r="V112" s="39"/>
      <c r="W112" s="39"/>
      <c r="X112" s="39"/>
      <c r="Y112" s="39"/>
      <c r="Z112" s="39"/>
    </row>
    <row r="113" spans="1:26" ht="15.75" customHeight="1">
      <c r="A113" s="683" t="s">
        <v>778</v>
      </c>
      <c r="B113" s="683" t="str">
        <f>"Conference ("&amp;B116&amp;"-day event)"</f>
        <v>Conference (3-day event)</v>
      </c>
      <c r="C113" s="683"/>
      <c r="D113" s="683"/>
      <c r="E113" s="683"/>
      <c r="F113" s="683"/>
      <c r="G113" s="683"/>
      <c r="H113" s="683"/>
      <c r="I113" s="683"/>
      <c r="J113" s="683"/>
      <c r="K113" s="39"/>
      <c r="L113" s="39"/>
      <c r="M113" s="39"/>
      <c r="N113" s="39"/>
      <c r="O113" s="39"/>
      <c r="P113" s="39"/>
      <c r="Q113" s="39"/>
      <c r="R113" s="39"/>
      <c r="S113" s="39"/>
      <c r="T113" s="39"/>
      <c r="U113" s="39"/>
      <c r="V113" s="39"/>
      <c r="W113" s="39"/>
      <c r="X113" s="39"/>
      <c r="Y113" s="39"/>
      <c r="Z113" s="39"/>
    </row>
    <row r="114" spans="1:26" ht="15.75" customHeight="1">
      <c r="A114" s="61"/>
      <c r="B114" s="685">
        <v>150</v>
      </c>
      <c r="C114" s="61" t="s">
        <v>751</v>
      </c>
      <c r="D114" s="61"/>
      <c r="E114" s="61"/>
      <c r="F114" s="67"/>
      <c r="G114" s="67"/>
      <c r="H114" s="63"/>
      <c r="I114" s="64"/>
      <c r="J114" s="67"/>
      <c r="K114" s="39"/>
      <c r="L114" s="39"/>
      <c r="M114" s="39"/>
      <c r="N114" s="39"/>
      <c r="O114" s="39"/>
      <c r="P114" s="39"/>
      <c r="Q114" s="39"/>
      <c r="R114" s="39"/>
      <c r="S114" s="39"/>
      <c r="T114" s="39"/>
      <c r="U114" s="39"/>
      <c r="V114" s="39"/>
      <c r="W114" s="39"/>
      <c r="X114" s="39"/>
      <c r="Y114" s="39"/>
      <c r="Z114" s="39"/>
    </row>
    <row r="115" spans="1:26" ht="15.75" customHeight="1">
      <c r="A115" s="68"/>
      <c r="B115" s="685">
        <f>B114*80%</f>
        <v>120</v>
      </c>
      <c r="C115" s="61" t="s">
        <v>752</v>
      </c>
      <c r="D115" s="61"/>
      <c r="E115" s="61"/>
      <c r="F115" s="67"/>
      <c r="G115" s="67"/>
      <c r="H115" s="69"/>
      <c r="I115" s="70"/>
      <c r="J115" s="67"/>
      <c r="K115" s="39"/>
      <c r="L115" s="39"/>
      <c r="M115" s="39"/>
      <c r="N115" s="39"/>
      <c r="O115" s="39"/>
      <c r="P115" s="39"/>
      <c r="Q115" s="39"/>
      <c r="R115" s="39"/>
      <c r="S115" s="39"/>
      <c r="T115" s="39"/>
      <c r="U115" s="39"/>
      <c r="V115" s="39"/>
      <c r="W115" s="39"/>
      <c r="X115" s="39"/>
      <c r="Y115" s="39"/>
      <c r="Z115" s="39"/>
    </row>
    <row r="116" spans="1:26" ht="15.75" customHeight="1">
      <c r="A116" s="61"/>
      <c r="B116" s="685">
        <v>3</v>
      </c>
      <c r="C116" s="61" t="s">
        <v>753</v>
      </c>
      <c r="D116" s="61"/>
      <c r="E116" s="61"/>
      <c r="F116" s="67"/>
      <c r="G116" s="67"/>
      <c r="H116" s="63"/>
      <c r="I116" s="64"/>
      <c r="J116" s="67"/>
      <c r="K116" s="39"/>
      <c r="L116" s="39"/>
      <c r="M116" s="39"/>
      <c r="N116" s="39"/>
      <c r="O116" s="39"/>
      <c r="P116" s="39"/>
      <c r="Q116" s="39"/>
      <c r="R116" s="39"/>
      <c r="S116" s="39"/>
      <c r="T116" s="39"/>
      <c r="U116" s="39"/>
      <c r="V116" s="39"/>
      <c r="W116" s="39"/>
      <c r="X116" s="39"/>
      <c r="Y116" s="39"/>
      <c r="Z116" s="39"/>
    </row>
    <row r="117" spans="1:26" ht="15.75" customHeight="1">
      <c r="A117" s="61"/>
      <c r="B117" s="685">
        <v>2</v>
      </c>
      <c r="C117" s="61" t="s">
        <v>774</v>
      </c>
      <c r="D117" s="61"/>
      <c r="E117" s="61"/>
      <c r="F117" s="71"/>
      <c r="G117" s="63"/>
      <c r="H117" s="63"/>
      <c r="I117" s="64"/>
      <c r="J117" s="67"/>
      <c r="K117" s="39"/>
      <c r="L117" s="39"/>
      <c r="M117" s="39"/>
      <c r="N117" s="39"/>
      <c r="O117" s="39"/>
      <c r="P117" s="39"/>
      <c r="Q117" s="39"/>
      <c r="R117" s="39"/>
      <c r="S117" s="39"/>
      <c r="T117" s="39"/>
      <c r="U117" s="39"/>
      <c r="V117" s="39"/>
      <c r="W117" s="39"/>
      <c r="X117" s="39"/>
      <c r="Y117" s="39"/>
      <c r="Z117" s="39"/>
    </row>
    <row r="118" spans="1:26" ht="15.75" customHeight="1">
      <c r="A118" s="61"/>
      <c r="B118" s="72" t="s">
        <v>755</v>
      </c>
      <c r="C118" s="72" t="s">
        <v>756</v>
      </c>
      <c r="D118" s="72" t="s">
        <v>697</v>
      </c>
      <c r="E118" s="73" t="s">
        <v>757</v>
      </c>
      <c r="F118" s="73"/>
      <c r="G118" s="72" t="s">
        <v>759</v>
      </c>
      <c r="H118" s="72" t="s">
        <v>760</v>
      </c>
      <c r="I118" s="74" t="s">
        <v>761</v>
      </c>
      <c r="J118" s="67"/>
      <c r="K118" s="39"/>
      <c r="L118" s="39"/>
      <c r="M118" s="39"/>
      <c r="N118" s="39"/>
      <c r="O118" s="39"/>
      <c r="P118" s="39"/>
      <c r="Q118" s="39"/>
      <c r="R118" s="39"/>
      <c r="S118" s="39"/>
      <c r="T118" s="39"/>
      <c r="U118" s="39"/>
      <c r="V118" s="39"/>
      <c r="W118" s="39"/>
      <c r="X118" s="39"/>
      <c r="Y118" s="39"/>
      <c r="Z118" s="39"/>
    </row>
    <row r="119" spans="1:26" ht="15.75" customHeight="1">
      <c r="A119" s="61"/>
      <c r="B119" s="75">
        <v>1</v>
      </c>
      <c r="C119" s="76" t="s">
        <v>763</v>
      </c>
      <c r="D119" s="76" t="s">
        <v>764</v>
      </c>
      <c r="E119" s="82">
        <f>$E$7</f>
        <v>15000</v>
      </c>
      <c r="F119" s="82"/>
      <c r="G119" s="75">
        <v>1</v>
      </c>
      <c r="H119" s="75">
        <f>B116</f>
        <v>3</v>
      </c>
      <c r="I119" s="82">
        <f t="shared" ref="I119:I123" si="11">E119*G119*H119</f>
        <v>45000</v>
      </c>
      <c r="J119" s="67"/>
      <c r="K119" s="39"/>
      <c r="L119" s="39"/>
      <c r="M119" s="39"/>
      <c r="N119" s="39"/>
      <c r="O119" s="39"/>
      <c r="P119" s="39"/>
      <c r="Q119" s="39"/>
      <c r="R119" s="39"/>
      <c r="S119" s="39"/>
      <c r="T119" s="39"/>
      <c r="U119" s="39"/>
      <c r="V119" s="39"/>
      <c r="W119" s="39"/>
      <c r="X119" s="39"/>
      <c r="Y119" s="39"/>
      <c r="Z119" s="39"/>
    </row>
    <row r="120" spans="1:26" ht="15.75" customHeight="1">
      <c r="A120" s="61"/>
      <c r="B120" s="75">
        <v>2</v>
      </c>
      <c r="C120" s="76" t="s">
        <v>742</v>
      </c>
      <c r="D120" s="76" t="s">
        <v>765</v>
      </c>
      <c r="E120" s="82">
        <f>$E$27</f>
        <v>1235</v>
      </c>
      <c r="F120" s="82"/>
      <c r="G120" s="75">
        <f>B115</f>
        <v>120</v>
      </c>
      <c r="H120" s="75">
        <v>1</v>
      </c>
      <c r="I120" s="82">
        <f t="shared" si="11"/>
        <v>148200</v>
      </c>
      <c r="J120" s="67"/>
      <c r="K120" s="39"/>
      <c r="L120" s="39"/>
      <c r="M120" s="39"/>
      <c r="N120" s="39"/>
      <c r="O120" s="39"/>
      <c r="P120" s="39"/>
      <c r="Q120" s="39"/>
      <c r="R120" s="39"/>
      <c r="S120" s="39"/>
      <c r="T120" s="39"/>
      <c r="U120" s="39"/>
      <c r="V120" s="39"/>
      <c r="W120" s="39"/>
      <c r="X120" s="39"/>
      <c r="Y120" s="39"/>
      <c r="Z120" s="39"/>
    </row>
    <row r="121" spans="1:26" ht="15.75" customHeight="1">
      <c r="A121" s="61"/>
      <c r="B121" s="75">
        <v>3</v>
      </c>
      <c r="C121" s="79" t="s">
        <v>766</v>
      </c>
      <c r="D121" s="76" t="s">
        <v>765</v>
      </c>
      <c r="E121" s="92">
        <f>$E$6</f>
        <v>605</v>
      </c>
      <c r="F121" s="82"/>
      <c r="G121" s="75">
        <f>B114+B117</f>
        <v>152</v>
      </c>
      <c r="H121" s="75">
        <f>B116</f>
        <v>3</v>
      </c>
      <c r="I121" s="82">
        <f t="shared" si="11"/>
        <v>275880</v>
      </c>
      <c r="J121" s="67"/>
      <c r="K121" s="39"/>
      <c r="L121" s="39"/>
      <c r="M121" s="39"/>
      <c r="N121" s="39"/>
      <c r="O121" s="39"/>
      <c r="P121" s="39"/>
      <c r="Q121" s="39"/>
      <c r="R121" s="39"/>
      <c r="S121" s="39"/>
      <c r="T121" s="39"/>
      <c r="U121" s="39"/>
      <c r="V121" s="39"/>
      <c r="W121" s="39"/>
      <c r="X121" s="39"/>
      <c r="Y121" s="39"/>
      <c r="Z121" s="39"/>
    </row>
    <row r="122" spans="1:26" ht="15.75" customHeight="1">
      <c r="A122" s="61"/>
      <c r="B122" s="75">
        <v>5</v>
      </c>
      <c r="C122" s="76" t="s">
        <v>775</v>
      </c>
      <c r="D122" s="76" t="s">
        <v>765</v>
      </c>
      <c r="E122" s="82">
        <f>$E$8</f>
        <v>1175</v>
      </c>
      <c r="F122" s="82"/>
      <c r="G122" s="75">
        <f>B115</f>
        <v>120</v>
      </c>
      <c r="H122" s="75">
        <f>B116-0.5</f>
        <v>2.5</v>
      </c>
      <c r="I122" s="82">
        <f t="shared" si="11"/>
        <v>352500</v>
      </c>
      <c r="J122" s="67"/>
      <c r="K122" s="39"/>
      <c r="L122" s="39"/>
      <c r="M122" s="39"/>
      <c r="N122" s="39"/>
      <c r="O122" s="39"/>
      <c r="P122" s="39"/>
      <c r="Q122" s="39"/>
      <c r="R122" s="39"/>
      <c r="S122" s="39"/>
      <c r="T122" s="39"/>
      <c r="U122" s="39"/>
      <c r="V122" s="39"/>
      <c r="W122" s="39"/>
      <c r="X122" s="39"/>
      <c r="Y122" s="39"/>
      <c r="Z122" s="39"/>
    </row>
    <row r="123" spans="1:26" ht="15.75" customHeight="1">
      <c r="A123" s="61"/>
      <c r="B123" s="75">
        <v>6</v>
      </c>
      <c r="C123" s="95" t="s">
        <v>713</v>
      </c>
      <c r="D123" s="76" t="s">
        <v>765</v>
      </c>
      <c r="E123" s="82">
        <f>$E$9</f>
        <v>200</v>
      </c>
      <c r="F123" s="82"/>
      <c r="G123" s="75">
        <f>B114</f>
        <v>150</v>
      </c>
      <c r="H123" s="75">
        <v>1</v>
      </c>
      <c r="I123" s="82">
        <f t="shared" si="11"/>
        <v>30000</v>
      </c>
      <c r="J123" s="67"/>
      <c r="K123" s="39"/>
      <c r="L123" s="39"/>
      <c r="M123" s="39"/>
      <c r="N123" s="39"/>
      <c r="O123" s="39"/>
      <c r="P123" s="39"/>
      <c r="Q123" s="39"/>
      <c r="R123" s="39"/>
      <c r="S123" s="39"/>
      <c r="T123" s="39"/>
      <c r="U123" s="39"/>
      <c r="V123" s="39"/>
      <c r="W123" s="39"/>
      <c r="X123" s="39"/>
      <c r="Y123" s="39"/>
      <c r="Z123" s="39"/>
    </row>
    <row r="124" spans="1:26" ht="15.75" customHeight="1">
      <c r="A124" s="61"/>
      <c r="B124" s="75">
        <v>7</v>
      </c>
      <c r="C124" s="76" t="s">
        <v>717</v>
      </c>
      <c r="D124" s="76" t="s">
        <v>768</v>
      </c>
      <c r="E124" s="81">
        <f>E11</f>
        <v>0.1</v>
      </c>
      <c r="F124" s="81"/>
      <c r="G124" s="75"/>
      <c r="H124" s="75"/>
      <c r="I124" s="82">
        <f>SUM(I119:I123)*E124</f>
        <v>85158</v>
      </c>
      <c r="J124" s="67"/>
      <c r="K124" s="39"/>
      <c r="L124" s="39"/>
      <c r="M124" s="39"/>
      <c r="N124" s="39"/>
      <c r="O124" s="39"/>
      <c r="P124" s="39"/>
      <c r="Q124" s="39"/>
      <c r="R124" s="39"/>
      <c r="S124" s="39"/>
      <c r="T124" s="39"/>
      <c r="U124" s="39"/>
      <c r="V124" s="39"/>
      <c r="W124" s="39"/>
      <c r="X124" s="39"/>
      <c r="Y124" s="39"/>
      <c r="Z124" s="39"/>
    </row>
    <row r="125" spans="1:26" ht="15.75" customHeight="1">
      <c r="A125" s="61"/>
      <c r="B125" s="75">
        <v>8</v>
      </c>
      <c r="C125" s="76" t="s">
        <v>769</v>
      </c>
      <c r="D125" s="76" t="s">
        <v>764</v>
      </c>
      <c r="E125" s="82">
        <f>$E$13</f>
        <v>3334</v>
      </c>
      <c r="F125" s="82"/>
      <c r="G125" s="75">
        <f>B117</f>
        <v>2</v>
      </c>
      <c r="H125" s="75">
        <f>B116</f>
        <v>3</v>
      </c>
      <c r="I125" s="82">
        <f>E125*G125*H125</f>
        <v>20004</v>
      </c>
      <c r="J125" s="67"/>
      <c r="K125" s="39"/>
      <c r="L125" s="39"/>
      <c r="M125" s="39"/>
      <c r="N125" s="39"/>
      <c r="O125" s="39"/>
      <c r="P125" s="39"/>
      <c r="Q125" s="39"/>
      <c r="R125" s="39"/>
      <c r="S125" s="39"/>
      <c r="T125" s="39"/>
      <c r="U125" s="39"/>
      <c r="V125" s="39"/>
      <c r="W125" s="39"/>
      <c r="X125" s="39"/>
      <c r="Y125" s="39"/>
      <c r="Z125" s="39"/>
    </row>
    <row r="126" spans="1:26" ht="15.75" customHeight="1">
      <c r="A126" s="61"/>
      <c r="B126" s="83"/>
      <c r="C126" s="83" t="s">
        <v>770</v>
      </c>
      <c r="D126" s="83"/>
      <c r="E126" s="83"/>
      <c r="F126" s="84"/>
      <c r="G126" s="85"/>
      <c r="H126" s="85"/>
      <c r="I126" s="86">
        <f>SUM(I119:I125)</f>
        <v>956742</v>
      </c>
      <c r="J126" s="67"/>
      <c r="K126" s="39"/>
      <c r="L126" s="39"/>
      <c r="M126" s="39"/>
      <c r="N126" s="39"/>
      <c r="O126" s="39"/>
      <c r="P126" s="39"/>
      <c r="Q126" s="39"/>
      <c r="R126" s="39"/>
      <c r="S126" s="39"/>
      <c r="T126" s="39"/>
      <c r="U126" s="39"/>
      <c r="V126" s="39"/>
      <c r="W126" s="39"/>
      <c r="X126" s="39"/>
      <c r="Y126" s="39"/>
      <c r="Z126" s="39"/>
    </row>
    <row r="127" spans="1:26" ht="15.75" customHeight="1">
      <c r="A127" s="39"/>
      <c r="B127" s="39"/>
      <c r="C127" s="39"/>
      <c r="D127" s="39"/>
      <c r="E127" s="39"/>
      <c r="F127" s="39"/>
      <c r="G127" s="39"/>
      <c r="H127" s="87" t="s">
        <v>771</v>
      </c>
      <c r="I127" s="88">
        <f>I126/B114/B116</f>
        <v>2126.0933333333332</v>
      </c>
      <c r="J127" s="67"/>
      <c r="K127" s="39"/>
      <c r="L127" s="39"/>
      <c r="M127" s="39"/>
      <c r="N127" s="39"/>
      <c r="O127" s="39"/>
      <c r="P127" s="39"/>
      <c r="Q127" s="39"/>
      <c r="R127" s="39"/>
      <c r="S127" s="39"/>
      <c r="T127" s="39"/>
      <c r="U127" s="39"/>
      <c r="V127" s="39"/>
      <c r="W127" s="39"/>
      <c r="X127" s="39"/>
      <c r="Y127" s="39"/>
      <c r="Z127" s="39"/>
    </row>
    <row r="128" spans="1:26" ht="15.75" customHeight="1">
      <c r="A128" s="39"/>
      <c r="B128" s="39"/>
      <c r="C128" s="39"/>
      <c r="D128" s="39"/>
      <c r="E128" s="39"/>
      <c r="F128" s="39"/>
      <c r="G128" s="39"/>
      <c r="H128" s="90" t="s">
        <v>772</v>
      </c>
      <c r="I128" s="688">
        <f>B114*B116</f>
        <v>450</v>
      </c>
      <c r="J128" s="67"/>
      <c r="K128" s="39"/>
      <c r="L128" s="39"/>
      <c r="M128" s="39"/>
      <c r="N128" s="39"/>
      <c r="O128" s="39"/>
      <c r="P128" s="39"/>
      <c r="Q128" s="39"/>
      <c r="R128" s="39"/>
      <c r="S128" s="39"/>
      <c r="T128" s="39"/>
      <c r="U128" s="39"/>
      <c r="V128" s="39"/>
      <c r="W128" s="39"/>
      <c r="X128" s="39"/>
      <c r="Y128" s="39"/>
      <c r="Z128" s="39"/>
    </row>
    <row r="129" spans="1:26" ht="15.75" customHeight="1">
      <c r="A129" s="39"/>
      <c r="B129" s="39"/>
      <c r="C129" s="39"/>
      <c r="D129" s="39"/>
      <c r="E129" s="39"/>
      <c r="F129" s="39"/>
      <c r="G129" s="39"/>
      <c r="H129" s="66"/>
      <c r="I129" s="66"/>
      <c r="J129" s="39"/>
      <c r="K129" s="39"/>
      <c r="L129" s="39"/>
      <c r="M129" s="39"/>
      <c r="N129" s="39"/>
      <c r="O129" s="39"/>
      <c r="P129" s="39"/>
      <c r="Q129" s="39"/>
      <c r="R129" s="39"/>
      <c r="S129" s="39"/>
      <c r="T129" s="39"/>
      <c r="U129" s="39"/>
      <c r="V129" s="39"/>
      <c r="W129" s="39"/>
      <c r="X129" s="39"/>
      <c r="Y129" s="39"/>
      <c r="Z129" s="39"/>
    </row>
    <row r="130" spans="1:26" ht="15.75" customHeight="1">
      <c r="A130" s="39"/>
      <c r="B130" s="39"/>
      <c r="C130" s="39"/>
      <c r="D130" s="39"/>
      <c r="E130" s="39"/>
      <c r="F130" s="39"/>
      <c r="G130" s="39"/>
      <c r="H130" s="66"/>
      <c r="I130" s="66"/>
      <c r="J130" s="39"/>
      <c r="K130" s="39"/>
      <c r="L130" s="39"/>
      <c r="M130" s="39"/>
      <c r="N130" s="39"/>
      <c r="O130" s="39"/>
      <c r="P130" s="39"/>
      <c r="Q130" s="39"/>
      <c r="R130" s="39"/>
      <c r="S130" s="39"/>
      <c r="T130" s="39"/>
      <c r="U130" s="39"/>
      <c r="V130" s="39"/>
      <c r="W130" s="39"/>
      <c r="X130" s="39"/>
      <c r="Y130" s="39"/>
      <c r="Z130" s="39"/>
    </row>
    <row r="131" spans="1:26"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683" t="s">
        <v>779</v>
      </c>
      <c r="B132" s="684" t="str">
        <f>"Training/round table/seminar ("&amp;B135&amp;"-day event)"</f>
        <v>Training/round table/seminar (1-day event)</v>
      </c>
      <c r="C132" s="689"/>
      <c r="D132" s="689"/>
      <c r="E132" s="689"/>
      <c r="F132" s="690"/>
      <c r="G132" s="691"/>
      <c r="H132" s="692"/>
      <c r="I132" s="693"/>
      <c r="J132" s="693"/>
      <c r="K132" s="39"/>
      <c r="L132" s="39"/>
      <c r="M132" s="39"/>
      <c r="N132" s="39"/>
      <c r="O132" s="39"/>
      <c r="P132" s="39"/>
      <c r="Q132" s="39"/>
      <c r="R132" s="39"/>
      <c r="S132" s="39"/>
      <c r="T132" s="39"/>
      <c r="U132" s="39"/>
      <c r="V132" s="39"/>
      <c r="W132" s="39"/>
      <c r="X132" s="39"/>
      <c r="Y132" s="39"/>
      <c r="Z132" s="39"/>
    </row>
    <row r="133" spans="1:26" ht="15.75" customHeight="1">
      <c r="A133" s="61"/>
      <c r="B133" s="685">
        <v>10</v>
      </c>
      <c r="C133" s="61" t="s">
        <v>751</v>
      </c>
      <c r="D133" s="61"/>
      <c r="E133" s="61"/>
      <c r="F133" s="67"/>
      <c r="G133" s="63"/>
      <c r="H133" s="63"/>
      <c r="I133" s="64"/>
      <c r="J133" s="39"/>
      <c r="K133" s="39"/>
      <c r="L133" s="39"/>
      <c r="M133" s="39"/>
      <c r="N133" s="39"/>
      <c r="O133" s="39"/>
      <c r="P133" s="39"/>
      <c r="Q133" s="39"/>
      <c r="R133" s="39"/>
      <c r="S133" s="39"/>
      <c r="T133" s="39"/>
      <c r="U133" s="39"/>
      <c r="V133" s="39"/>
      <c r="W133" s="39"/>
      <c r="X133" s="39"/>
      <c r="Y133" s="39"/>
      <c r="Z133" s="39"/>
    </row>
    <row r="134" spans="1:26" ht="15.75" customHeight="1">
      <c r="A134" s="68"/>
      <c r="B134" s="685">
        <v>0</v>
      </c>
      <c r="C134" s="61" t="s">
        <v>752</v>
      </c>
      <c r="D134" s="61"/>
      <c r="E134" s="61"/>
      <c r="F134" s="67"/>
      <c r="G134" s="63"/>
      <c r="H134" s="69"/>
      <c r="I134" s="70"/>
      <c r="J134" s="39"/>
      <c r="K134" s="39"/>
      <c r="L134" s="39"/>
      <c r="M134" s="39"/>
      <c r="N134" s="39"/>
      <c r="O134" s="39"/>
      <c r="P134" s="39"/>
      <c r="Q134" s="39"/>
      <c r="R134" s="39"/>
      <c r="S134" s="39"/>
      <c r="T134" s="39"/>
      <c r="U134" s="39"/>
      <c r="V134" s="39"/>
      <c r="W134" s="39"/>
      <c r="X134" s="39"/>
      <c r="Y134" s="39"/>
      <c r="Z134" s="39"/>
    </row>
    <row r="135" spans="1:26" ht="15.75" customHeight="1">
      <c r="A135" s="61"/>
      <c r="B135" s="685">
        <v>1</v>
      </c>
      <c r="C135" s="61" t="s">
        <v>753</v>
      </c>
      <c r="D135" s="61"/>
      <c r="E135" s="61"/>
      <c r="F135" s="71"/>
      <c r="G135" s="63"/>
      <c r="H135" s="63"/>
      <c r="I135" s="64"/>
      <c r="J135" s="39"/>
      <c r="K135" s="39"/>
      <c r="L135" s="39"/>
      <c r="M135" s="39"/>
      <c r="N135" s="39"/>
      <c r="O135" s="39"/>
      <c r="P135" s="39"/>
      <c r="Q135" s="39"/>
      <c r="R135" s="39"/>
      <c r="S135" s="39"/>
      <c r="T135" s="39"/>
      <c r="U135" s="39"/>
      <c r="V135" s="39"/>
      <c r="W135" s="39"/>
      <c r="X135" s="39"/>
      <c r="Y135" s="39"/>
      <c r="Z135" s="39"/>
    </row>
    <row r="136" spans="1:26" ht="15.75" customHeight="1">
      <c r="A136" s="61"/>
      <c r="B136" s="685">
        <v>0</v>
      </c>
      <c r="C136" s="61" t="s">
        <v>754</v>
      </c>
      <c r="D136" s="61"/>
      <c r="E136" s="61"/>
      <c r="F136" s="71"/>
      <c r="G136" s="63"/>
      <c r="H136" s="63"/>
      <c r="I136" s="64"/>
      <c r="J136" s="39"/>
      <c r="K136" s="39"/>
      <c r="L136" s="39"/>
      <c r="M136" s="39"/>
      <c r="N136" s="39"/>
      <c r="O136" s="39"/>
      <c r="P136" s="39"/>
      <c r="Q136" s="39"/>
      <c r="R136" s="39"/>
      <c r="S136" s="39"/>
      <c r="T136" s="39"/>
      <c r="U136" s="39"/>
      <c r="V136" s="39"/>
      <c r="W136" s="39"/>
      <c r="X136" s="39"/>
      <c r="Y136" s="39"/>
      <c r="Z136" s="39"/>
    </row>
    <row r="137" spans="1:26" ht="15.75" customHeight="1">
      <c r="A137" s="61"/>
      <c r="B137" s="72" t="s">
        <v>755</v>
      </c>
      <c r="C137" s="72" t="s">
        <v>756</v>
      </c>
      <c r="D137" s="72" t="s">
        <v>697</v>
      </c>
      <c r="E137" s="73" t="s">
        <v>757</v>
      </c>
      <c r="F137" s="73" t="s">
        <v>758</v>
      </c>
      <c r="G137" s="72" t="s">
        <v>759</v>
      </c>
      <c r="H137" s="72" t="s">
        <v>760</v>
      </c>
      <c r="I137" s="74" t="s">
        <v>761</v>
      </c>
      <c r="J137" s="74" t="s">
        <v>762</v>
      </c>
      <c r="K137" s="39"/>
      <c r="L137" s="39"/>
      <c r="M137" s="39"/>
      <c r="N137" s="39"/>
      <c r="O137" s="39"/>
      <c r="P137" s="39"/>
      <c r="Q137" s="39"/>
      <c r="R137" s="39"/>
      <c r="S137" s="39"/>
      <c r="T137" s="39"/>
      <c r="U137" s="39"/>
      <c r="V137" s="39"/>
      <c r="W137" s="39"/>
      <c r="X137" s="39"/>
      <c r="Y137" s="39"/>
      <c r="Z137" s="39"/>
    </row>
    <row r="138" spans="1:26" ht="15.75" customHeight="1">
      <c r="A138" s="61"/>
      <c r="B138" s="75">
        <v>1</v>
      </c>
      <c r="C138" s="76" t="s">
        <v>763</v>
      </c>
      <c r="D138" s="76" t="s">
        <v>764</v>
      </c>
      <c r="E138" s="82"/>
      <c r="F138" s="82"/>
      <c r="G138" s="75">
        <v>1</v>
      </c>
      <c r="H138" s="75">
        <f>B135</f>
        <v>1</v>
      </c>
      <c r="I138" s="91">
        <f t="shared" ref="I138:I143" si="12">E138*G138*H138</f>
        <v>0</v>
      </c>
      <c r="J138" s="82">
        <f t="shared" ref="J138:J147" si="13">I138/2</f>
        <v>0</v>
      </c>
      <c r="K138" s="39"/>
      <c r="L138" s="39"/>
      <c r="M138" s="39"/>
      <c r="N138" s="39"/>
      <c r="O138" s="39"/>
      <c r="P138" s="39"/>
      <c r="Q138" s="39"/>
      <c r="R138" s="39"/>
      <c r="S138" s="39"/>
      <c r="T138" s="39"/>
      <c r="U138" s="39"/>
      <c r="V138" s="39"/>
      <c r="W138" s="39"/>
      <c r="X138" s="39"/>
      <c r="Y138" s="39"/>
      <c r="Z138" s="39"/>
    </row>
    <row r="139" spans="1:26" ht="15.75" customHeight="1">
      <c r="A139" s="61"/>
      <c r="B139" s="75">
        <v>2</v>
      </c>
      <c r="C139" s="76" t="s">
        <v>742</v>
      </c>
      <c r="D139" s="76" t="s">
        <v>765</v>
      </c>
      <c r="E139" s="82">
        <f>E5</f>
        <v>1235</v>
      </c>
      <c r="F139" s="82"/>
      <c r="G139" s="75">
        <f>B134</f>
        <v>0</v>
      </c>
      <c r="H139" s="75">
        <v>1</v>
      </c>
      <c r="I139" s="91">
        <f t="shared" si="12"/>
        <v>0</v>
      </c>
      <c r="J139" s="82">
        <f t="shared" si="13"/>
        <v>0</v>
      </c>
      <c r="K139" s="39"/>
      <c r="L139" s="39"/>
      <c r="M139" s="39"/>
      <c r="N139" s="39"/>
      <c r="O139" s="39"/>
      <c r="P139" s="39"/>
      <c r="Q139" s="39"/>
      <c r="R139" s="39"/>
      <c r="S139" s="39"/>
      <c r="T139" s="39"/>
      <c r="U139" s="39"/>
      <c r="V139" s="39"/>
      <c r="W139" s="39"/>
      <c r="X139" s="39"/>
      <c r="Y139" s="39"/>
      <c r="Z139" s="39"/>
    </row>
    <row r="140" spans="1:26" ht="15.75" customHeight="1">
      <c r="A140" s="61"/>
      <c r="B140" s="75">
        <v>3</v>
      </c>
      <c r="C140" s="79" t="s">
        <v>766</v>
      </c>
      <c r="D140" s="76" t="s">
        <v>765</v>
      </c>
      <c r="E140" s="92">
        <f>E14</f>
        <v>300</v>
      </c>
      <c r="F140" s="82"/>
      <c r="G140" s="75">
        <f>B133+B136</f>
        <v>10</v>
      </c>
      <c r="H140" s="75">
        <f>B135</f>
        <v>1</v>
      </c>
      <c r="I140" s="91">
        <f t="shared" si="12"/>
        <v>3000</v>
      </c>
      <c r="J140" s="82">
        <f t="shared" si="13"/>
        <v>1500</v>
      </c>
      <c r="K140" s="39"/>
      <c r="L140" s="39"/>
      <c r="M140" s="39"/>
      <c r="N140" s="39"/>
      <c r="O140" s="39"/>
      <c r="P140" s="39"/>
      <c r="Q140" s="39"/>
      <c r="R140" s="39"/>
      <c r="S140" s="39"/>
      <c r="T140" s="39"/>
      <c r="U140" s="39"/>
      <c r="V140" s="39"/>
      <c r="W140" s="39"/>
      <c r="X140" s="39"/>
      <c r="Y140" s="39"/>
      <c r="Z140" s="39"/>
    </row>
    <row r="141" spans="1:26" ht="15.75" customHeight="1">
      <c r="A141" s="61"/>
      <c r="B141" s="75">
        <v>4</v>
      </c>
      <c r="C141" s="76" t="s">
        <v>780</v>
      </c>
      <c r="D141" s="76" t="s">
        <v>765</v>
      </c>
      <c r="E141" s="82"/>
      <c r="F141" s="82"/>
      <c r="G141" s="75">
        <v>0</v>
      </c>
      <c r="H141" s="75">
        <v>0</v>
      </c>
      <c r="I141" s="91">
        <f t="shared" si="12"/>
        <v>0</v>
      </c>
      <c r="J141" s="82">
        <f t="shared" si="13"/>
        <v>0</v>
      </c>
      <c r="K141" s="39"/>
      <c r="L141" s="39"/>
      <c r="M141" s="39"/>
      <c r="N141" s="39"/>
      <c r="O141" s="39"/>
      <c r="P141" s="39"/>
      <c r="Q141" s="39"/>
      <c r="R141" s="39"/>
      <c r="S141" s="39"/>
      <c r="T141" s="39"/>
      <c r="U141" s="39"/>
      <c r="V141" s="39"/>
      <c r="W141" s="39"/>
      <c r="X141" s="39"/>
      <c r="Y141" s="39"/>
      <c r="Z141" s="39"/>
    </row>
    <row r="142" spans="1:26" ht="15.75" customHeight="1">
      <c r="A142" s="61"/>
      <c r="B142" s="75">
        <v>5</v>
      </c>
      <c r="C142" s="76" t="s">
        <v>775</v>
      </c>
      <c r="D142" s="76" t="s">
        <v>765</v>
      </c>
      <c r="E142" s="82">
        <f t="shared" ref="E142:E143" si="14">E16</f>
        <v>1175</v>
      </c>
      <c r="F142" s="82"/>
      <c r="G142" s="75">
        <v>13</v>
      </c>
      <c r="H142" s="75">
        <v>0</v>
      </c>
      <c r="I142" s="91">
        <f t="shared" si="12"/>
        <v>0</v>
      </c>
      <c r="J142" s="82">
        <f t="shared" si="13"/>
        <v>0</v>
      </c>
      <c r="K142" s="39"/>
      <c r="L142" s="39"/>
      <c r="M142" s="39"/>
      <c r="N142" s="39"/>
      <c r="O142" s="39"/>
      <c r="P142" s="39"/>
      <c r="Q142" s="39"/>
      <c r="R142" s="39"/>
      <c r="S142" s="39"/>
      <c r="T142" s="39"/>
      <c r="U142" s="39"/>
      <c r="V142" s="39"/>
      <c r="W142" s="39"/>
      <c r="X142" s="39"/>
      <c r="Y142" s="39"/>
      <c r="Z142" s="39"/>
    </row>
    <row r="143" spans="1:26" ht="15.75" customHeight="1">
      <c r="A143" s="61"/>
      <c r="B143" s="75">
        <v>6</v>
      </c>
      <c r="C143" s="76" t="s">
        <v>713</v>
      </c>
      <c r="D143" s="76" t="s">
        <v>765</v>
      </c>
      <c r="E143" s="82">
        <f t="shared" si="14"/>
        <v>100</v>
      </c>
      <c r="F143" s="82"/>
      <c r="G143" s="75">
        <f>B133</f>
        <v>10</v>
      </c>
      <c r="H143" s="75">
        <v>1</v>
      </c>
      <c r="I143" s="91">
        <f t="shared" si="12"/>
        <v>1000</v>
      </c>
      <c r="J143" s="82">
        <f t="shared" si="13"/>
        <v>500</v>
      </c>
      <c r="K143" s="39"/>
      <c r="L143" s="39"/>
      <c r="M143" s="39"/>
      <c r="N143" s="39"/>
      <c r="O143" s="39"/>
      <c r="P143" s="39"/>
      <c r="Q143" s="39"/>
      <c r="R143" s="39"/>
      <c r="S143" s="39"/>
      <c r="T143" s="39"/>
      <c r="U143" s="39"/>
      <c r="V143" s="39"/>
      <c r="W143" s="39"/>
      <c r="X143" s="39"/>
      <c r="Y143" s="39"/>
      <c r="Z143" s="39"/>
    </row>
    <row r="144" spans="1:26" ht="15.75" customHeight="1">
      <c r="A144" s="61"/>
      <c r="B144" s="75">
        <v>7</v>
      </c>
      <c r="C144" s="76" t="s">
        <v>717</v>
      </c>
      <c r="D144" s="76" t="s">
        <v>768</v>
      </c>
      <c r="E144" s="81">
        <v>0.1</v>
      </c>
      <c r="F144" s="81"/>
      <c r="G144" s="75"/>
      <c r="H144" s="75"/>
      <c r="I144" s="91">
        <f>SUM(I138:I143)*E144</f>
        <v>400</v>
      </c>
      <c r="J144" s="82">
        <f t="shared" si="13"/>
        <v>200</v>
      </c>
      <c r="K144" s="39"/>
      <c r="L144" s="39"/>
      <c r="M144" s="39"/>
      <c r="N144" s="39"/>
      <c r="O144" s="39"/>
      <c r="P144" s="39"/>
      <c r="Q144" s="39"/>
      <c r="R144" s="39"/>
      <c r="S144" s="39"/>
      <c r="T144" s="39"/>
      <c r="U144" s="39"/>
      <c r="V144" s="39"/>
      <c r="W144" s="39"/>
      <c r="X144" s="39"/>
      <c r="Y144" s="39"/>
      <c r="Z144" s="39"/>
    </row>
    <row r="145" spans="1:26" ht="15.75" customHeight="1">
      <c r="A145" s="61"/>
      <c r="B145" s="75">
        <v>8</v>
      </c>
      <c r="C145" s="76" t="s">
        <v>769</v>
      </c>
      <c r="D145" s="76" t="s">
        <v>764</v>
      </c>
      <c r="E145" s="82">
        <f>$E$13</f>
        <v>3334</v>
      </c>
      <c r="F145" s="82"/>
      <c r="G145" s="75">
        <f>B136</f>
        <v>0</v>
      </c>
      <c r="H145" s="75">
        <f>B135</f>
        <v>1</v>
      </c>
      <c r="I145" s="91">
        <f>E145*G145*H145</f>
        <v>0</v>
      </c>
      <c r="J145" s="82">
        <f t="shared" si="13"/>
        <v>0</v>
      </c>
      <c r="K145" s="39"/>
      <c r="L145" s="39"/>
      <c r="M145" s="39"/>
      <c r="N145" s="39"/>
      <c r="O145" s="39"/>
      <c r="P145" s="39"/>
      <c r="Q145" s="39"/>
      <c r="R145" s="39"/>
      <c r="S145" s="39"/>
      <c r="T145" s="39"/>
      <c r="U145" s="39"/>
      <c r="V145" s="39"/>
      <c r="W145" s="39"/>
      <c r="X145" s="39"/>
      <c r="Y145" s="39"/>
      <c r="Z145" s="39"/>
    </row>
    <row r="146" spans="1:26" ht="15.75" customHeight="1">
      <c r="A146" s="61"/>
      <c r="B146" s="83"/>
      <c r="C146" s="83" t="s">
        <v>770</v>
      </c>
      <c r="D146" s="83"/>
      <c r="E146" s="83"/>
      <c r="F146" s="84"/>
      <c r="G146" s="85"/>
      <c r="H146" s="85"/>
      <c r="I146" s="687">
        <f>SUM(I138:I145)</f>
        <v>4400</v>
      </c>
      <c r="J146" s="86">
        <f t="shared" si="13"/>
        <v>2200</v>
      </c>
      <c r="K146" s="93"/>
      <c r="L146" s="39"/>
      <c r="M146" s="39"/>
      <c r="N146" s="39"/>
      <c r="O146" s="39"/>
      <c r="P146" s="39"/>
      <c r="Q146" s="39"/>
      <c r="R146" s="39"/>
      <c r="S146" s="39"/>
      <c r="T146" s="39"/>
      <c r="U146" s="39"/>
      <c r="V146" s="39"/>
      <c r="W146" s="39"/>
      <c r="X146" s="39"/>
      <c r="Y146" s="39"/>
      <c r="Z146" s="39"/>
    </row>
    <row r="147" spans="1:26" ht="15.75" customHeight="1">
      <c r="A147" s="39"/>
      <c r="B147" s="39"/>
      <c r="C147" s="39"/>
      <c r="D147" s="39"/>
      <c r="E147" s="39"/>
      <c r="F147" s="39"/>
      <c r="G147" s="39"/>
      <c r="H147" s="87" t="s">
        <v>771</v>
      </c>
      <c r="I147" s="88">
        <f>I146/B133/B135</f>
        <v>440</v>
      </c>
      <c r="J147" s="89">
        <f t="shared" si="13"/>
        <v>220</v>
      </c>
      <c r="K147" s="39"/>
      <c r="L147" s="39"/>
      <c r="M147" s="39"/>
      <c r="N147" s="39"/>
      <c r="O147" s="39"/>
      <c r="P147" s="39"/>
      <c r="Q147" s="39"/>
      <c r="R147" s="39"/>
      <c r="S147" s="39"/>
      <c r="T147" s="39"/>
      <c r="U147" s="39"/>
      <c r="V147" s="39"/>
      <c r="W147" s="39"/>
      <c r="X147" s="39"/>
      <c r="Y147" s="39"/>
      <c r="Z147" s="39"/>
    </row>
    <row r="148" spans="1:26" ht="15.75" customHeight="1">
      <c r="A148" s="39"/>
      <c r="B148" s="39"/>
      <c r="C148" s="39"/>
      <c r="D148" s="39"/>
      <c r="E148" s="39"/>
      <c r="F148" s="39"/>
      <c r="G148" s="39"/>
      <c r="H148" s="90" t="s">
        <v>772</v>
      </c>
      <c r="I148" s="688">
        <f>B133*B135</f>
        <v>10</v>
      </c>
      <c r="J148" s="39"/>
      <c r="K148" s="39"/>
      <c r="L148" s="39"/>
      <c r="M148" s="39"/>
      <c r="N148" s="39"/>
      <c r="O148" s="39"/>
      <c r="P148" s="39"/>
      <c r="Q148" s="39"/>
      <c r="R148" s="39"/>
      <c r="S148" s="39"/>
      <c r="T148" s="39"/>
      <c r="U148" s="39"/>
      <c r="V148" s="39"/>
      <c r="W148" s="39"/>
      <c r="X148" s="39"/>
      <c r="Y148" s="39"/>
      <c r="Z148" s="39"/>
    </row>
    <row r="149" spans="1:26" ht="15.75" customHeight="1">
      <c r="A149" s="39"/>
      <c r="B149" s="39"/>
      <c r="C149" s="39"/>
      <c r="D149" s="39"/>
      <c r="E149" s="39"/>
      <c r="F149" s="39"/>
      <c r="G149" s="39"/>
      <c r="H149" s="66"/>
      <c r="I149" s="66"/>
      <c r="J149" s="39"/>
      <c r="K149" s="39"/>
      <c r="L149" s="39"/>
      <c r="M149" s="39"/>
      <c r="N149" s="39"/>
      <c r="O149" s="39"/>
      <c r="P149" s="39"/>
      <c r="Q149" s="39"/>
      <c r="R149" s="39"/>
      <c r="S149" s="39"/>
      <c r="T149" s="39"/>
      <c r="U149" s="39"/>
      <c r="V149" s="39"/>
      <c r="W149" s="39"/>
      <c r="X149" s="39"/>
      <c r="Y149" s="39"/>
      <c r="Z149" s="39"/>
    </row>
    <row r="150" spans="1:26" ht="15.75" customHeight="1">
      <c r="A150" s="683" t="s">
        <v>781</v>
      </c>
      <c r="B150" s="694" t="s">
        <v>782</v>
      </c>
      <c r="C150" s="689"/>
      <c r="D150" s="689"/>
      <c r="E150" s="689"/>
      <c r="F150" s="690"/>
      <c r="G150" s="691"/>
      <c r="H150" s="692"/>
      <c r="I150" s="693"/>
      <c r="J150" s="693"/>
      <c r="K150" s="39"/>
      <c r="L150" s="39"/>
      <c r="M150" s="39"/>
      <c r="N150" s="39"/>
      <c r="O150" s="39"/>
      <c r="P150" s="39"/>
      <c r="Q150" s="39"/>
      <c r="R150" s="39"/>
      <c r="S150" s="39"/>
      <c r="T150" s="39"/>
      <c r="U150" s="39"/>
      <c r="V150" s="39"/>
      <c r="W150" s="39"/>
      <c r="X150" s="39"/>
      <c r="Y150" s="39"/>
      <c r="Z150" s="39"/>
    </row>
    <row r="151" spans="1:26" ht="15.75" customHeight="1">
      <c r="A151" s="61"/>
      <c r="B151" s="685">
        <v>60</v>
      </c>
      <c r="C151" s="61" t="s">
        <v>751</v>
      </c>
      <c r="D151" s="61"/>
      <c r="E151" s="61"/>
      <c r="F151" s="67"/>
      <c r="G151" s="63"/>
      <c r="H151" s="63"/>
      <c r="I151" s="64"/>
      <c r="J151" s="39"/>
      <c r="K151" s="39"/>
      <c r="L151" s="39"/>
      <c r="M151" s="39"/>
      <c r="N151" s="39"/>
      <c r="O151" s="39"/>
      <c r="P151" s="39"/>
      <c r="Q151" s="39"/>
      <c r="R151" s="39"/>
      <c r="S151" s="39"/>
      <c r="T151" s="39"/>
      <c r="U151" s="39"/>
      <c r="V151" s="39"/>
      <c r="W151" s="39"/>
      <c r="X151" s="39"/>
      <c r="Y151" s="39"/>
      <c r="Z151" s="39"/>
    </row>
    <row r="152" spans="1:26" ht="15.75" customHeight="1">
      <c r="A152" s="61"/>
      <c r="B152" s="685">
        <v>35</v>
      </c>
      <c r="C152" s="61" t="s">
        <v>752</v>
      </c>
      <c r="D152" s="61"/>
      <c r="E152" s="61"/>
      <c r="F152" s="67"/>
      <c r="G152" s="63"/>
      <c r="H152" s="69"/>
      <c r="I152" s="70"/>
      <c r="J152" s="39"/>
      <c r="K152" s="39"/>
      <c r="L152" s="39"/>
      <c r="M152" s="39"/>
      <c r="N152" s="39"/>
      <c r="O152" s="39"/>
      <c r="P152" s="39"/>
      <c r="Q152" s="39"/>
      <c r="R152" s="39"/>
      <c r="S152" s="39"/>
      <c r="T152" s="39"/>
      <c r="U152" s="39"/>
      <c r="V152" s="39"/>
      <c r="W152" s="39"/>
      <c r="X152" s="39"/>
      <c r="Y152" s="39"/>
      <c r="Z152" s="39"/>
    </row>
    <row r="153" spans="1:26" ht="15.75" customHeight="1">
      <c r="A153" s="61"/>
      <c r="B153" s="685">
        <v>3</v>
      </c>
      <c r="C153" s="61" t="s">
        <v>753</v>
      </c>
      <c r="D153" s="61"/>
      <c r="E153" s="61"/>
      <c r="F153" s="71"/>
      <c r="G153" s="63"/>
      <c r="H153" s="63"/>
      <c r="I153" s="64"/>
      <c r="J153" s="39"/>
      <c r="K153" s="39"/>
      <c r="L153" s="39"/>
      <c r="M153" s="39"/>
      <c r="N153" s="39"/>
      <c r="O153" s="39"/>
      <c r="P153" s="39"/>
      <c r="Q153" s="39"/>
      <c r="R153" s="39"/>
      <c r="S153" s="39"/>
      <c r="T153" s="39"/>
      <c r="U153" s="39"/>
      <c r="V153" s="39"/>
      <c r="W153" s="39"/>
      <c r="X153" s="39"/>
      <c r="Y153" s="39"/>
      <c r="Z153" s="39"/>
    </row>
    <row r="154" spans="1:26" ht="15.75" customHeight="1">
      <c r="A154" s="61"/>
      <c r="B154" s="685">
        <v>2</v>
      </c>
      <c r="C154" s="61" t="s">
        <v>774</v>
      </c>
      <c r="D154" s="61"/>
      <c r="E154" s="61"/>
      <c r="F154" s="71"/>
      <c r="G154" s="63"/>
      <c r="H154" s="63"/>
      <c r="I154" s="64"/>
      <c r="J154" s="39"/>
      <c r="K154" s="39"/>
      <c r="L154" s="39"/>
      <c r="M154" s="39"/>
      <c r="N154" s="39"/>
      <c r="O154" s="39"/>
      <c r="P154" s="39"/>
      <c r="Q154" s="39"/>
      <c r="R154" s="39"/>
      <c r="S154" s="39"/>
      <c r="T154" s="39"/>
      <c r="U154" s="39"/>
      <c r="V154" s="39"/>
      <c r="W154" s="39"/>
      <c r="X154" s="39"/>
      <c r="Y154" s="39"/>
      <c r="Z154" s="39"/>
    </row>
    <row r="155" spans="1:26" ht="15.75" customHeight="1">
      <c r="A155" s="61"/>
      <c r="B155" s="72" t="s">
        <v>755</v>
      </c>
      <c r="C155" s="72" t="s">
        <v>756</v>
      </c>
      <c r="D155" s="72" t="s">
        <v>697</v>
      </c>
      <c r="E155" s="73" t="s">
        <v>757</v>
      </c>
      <c r="F155" s="73" t="s">
        <v>758</v>
      </c>
      <c r="G155" s="72" t="s">
        <v>759</v>
      </c>
      <c r="H155" s="72" t="s">
        <v>760</v>
      </c>
      <c r="I155" s="74" t="s">
        <v>761</v>
      </c>
      <c r="J155" s="74" t="s">
        <v>762</v>
      </c>
      <c r="K155" s="39"/>
      <c r="L155" s="39"/>
      <c r="M155" s="39"/>
      <c r="N155" s="39"/>
      <c r="O155" s="39"/>
      <c r="P155" s="39"/>
      <c r="Q155" s="39"/>
      <c r="R155" s="39"/>
      <c r="S155" s="39"/>
      <c r="T155" s="39"/>
      <c r="U155" s="39"/>
      <c r="V155" s="39"/>
      <c r="W155" s="39"/>
      <c r="X155" s="39"/>
      <c r="Y155" s="39"/>
      <c r="Z155" s="39"/>
    </row>
    <row r="156" spans="1:26" ht="15.75" customHeight="1">
      <c r="A156" s="61"/>
      <c r="B156" s="75">
        <v>1</v>
      </c>
      <c r="C156" s="76" t="s">
        <v>763</v>
      </c>
      <c r="D156" s="76" t="s">
        <v>764</v>
      </c>
      <c r="E156" s="82">
        <f>E7</f>
        <v>15000</v>
      </c>
      <c r="F156" s="82"/>
      <c r="G156" s="75">
        <v>1</v>
      </c>
      <c r="H156" s="75">
        <f>B153</f>
        <v>3</v>
      </c>
      <c r="I156" s="91">
        <f t="shared" ref="I156:I160" si="15">E156*G156*H156</f>
        <v>45000</v>
      </c>
      <c r="J156" s="82">
        <f t="shared" ref="J156:J164" si="16">I156/2</f>
        <v>22500</v>
      </c>
      <c r="K156" s="39"/>
      <c r="L156" s="39"/>
      <c r="M156" s="39"/>
      <c r="N156" s="39"/>
      <c r="O156" s="39"/>
      <c r="P156" s="39"/>
      <c r="Q156" s="39"/>
      <c r="R156" s="39"/>
      <c r="S156" s="39"/>
      <c r="T156" s="39"/>
      <c r="U156" s="39"/>
      <c r="V156" s="39"/>
      <c r="W156" s="39"/>
      <c r="X156" s="39"/>
      <c r="Y156" s="39"/>
      <c r="Z156" s="39"/>
    </row>
    <row r="157" spans="1:26" ht="15.75" customHeight="1">
      <c r="A157" s="61"/>
      <c r="B157" s="75">
        <v>2</v>
      </c>
      <c r="C157" s="76" t="s">
        <v>742</v>
      </c>
      <c r="D157" s="76" t="s">
        <v>765</v>
      </c>
      <c r="E157" s="82">
        <f t="shared" ref="E157:E158" si="17">E5</f>
        <v>1235</v>
      </c>
      <c r="F157" s="82"/>
      <c r="G157" s="75">
        <f>B152</f>
        <v>35</v>
      </c>
      <c r="H157" s="75">
        <v>1</v>
      </c>
      <c r="I157" s="91">
        <f t="shared" si="15"/>
        <v>43225</v>
      </c>
      <c r="J157" s="82">
        <f t="shared" si="16"/>
        <v>21612.5</v>
      </c>
      <c r="K157" s="39"/>
      <c r="L157" s="39"/>
      <c r="M157" s="39"/>
      <c r="N157" s="39"/>
      <c r="O157" s="39"/>
      <c r="P157" s="39"/>
      <c r="Q157" s="39"/>
      <c r="R157" s="39"/>
      <c r="S157" s="39"/>
      <c r="T157" s="39"/>
      <c r="U157" s="39"/>
      <c r="V157" s="39"/>
      <c r="W157" s="39"/>
      <c r="X157" s="39"/>
      <c r="Y157" s="39"/>
      <c r="Z157" s="39"/>
    </row>
    <row r="158" spans="1:26" ht="15.75" customHeight="1">
      <c r="A158" s="61"/>
      <c r="B158" s="75">
        <v>3</v>
      </c>
      <c r="C158" s="79" t="s">
        <v>766</v>
      </c>
      <c r="D158" s="76" t="s">
        <v>765</v>
      </c>
      <c r="E158" s="92">
        <f t="shared" si="17"/>
        <v>605</v>
      </c>
      <c r="F158" s="82"/>
      <c r="G158" s="75">
        <f>B151+B154</f>
        <v>62</v>
      </c>
      <c r="H158" s="75">
        <f>B153</f>
        <v>3</v>
      </c>
      <c r="I158" s="91">
        <f t="shared" si="15"/>
        <v>112530</v>
      </c>
      <c r="J158" s="82">
        <f t="shared" si="16"/>
        <v>56265</v>
      </c>
      <c r="K158" s="39"/>
      <c r="L158" s="39"/>
      <c r="M158" s="39"/>
      <c r="N158" s="39"/>
      <c r="O158" s="39"/>
      <c r="P158" s="39"/>
      <c r="Q158" s="39"/>
      <c r="R158" s="39"/>
      <c r="S158" s="39"/>
      <c r="T158" s="39"/>
      <c r="U158" s="39"/>
      <c r="V158" s="39"/>
      <c r="W158" s="39"/>
      <c r="X158" s="39"/>
      <c r="Y158" s="39"/>
      <c r="Z158" s="39"/>
    </row>
    <row r="159" spans="1:26" ht="15.75" customHeight="1">
      <c r="A159" s="61"/>
      <c r="B159" s="75">
        <v>5</v>
      </c>
      <c r="C159" s="76" t="s">
        <v>775</v>
      </c>
      <c r="D159" s="76" t="s">
        <v>765</v>
      </c>
      <c r="E159" s="82">
        <f t="shared" ref="E159:E160" si="18">E8</f>
        <v>1175</v>
      </c>
      <c r="F159" s="82"/>
      <c r="G159" s="75">
        <f>B152</f>
        <v>35</v>
      </c>
      <c r="H159" s="75">
        <f>B153-0.5</f>
        <v>2.5</v>
      </c>
      <c r="I159" s="91">
        <f t="shared" si="15"/>
        <v>102812.5</v>
      </c>
      <c r="J159" s="82">
        <f t="shared" si="16"/>
        <v>51406.25</v>
      </c>
      <c r="K159" s="39"/>
      <c r="L159" s="39"/>
      <c r="M159" s="39"/>
      <c r="N159" s="39"/>
      <c r="O159" s="39"/>
      <c r="P159" s="39"/>
      <c r="Q159" s="39"/>
      <c r="R159" s="39"/>
      <c r="S159" s="39"/>
      <c r="T159" s="39"/>
      <c r="U159" s="39"/>
      <c r="V159" s="39"/>
      <c r="W159" s="39"/>
      <c r="X159" s="39"/>
      <c r="Y159" s="39"/>
      <c r="Z159" s="39"/>
    </row>
    <row r="160" spans="1:26" ht="15.75" customHeight="1">
      <c r="A160" s="61"/>
      <c r="B160" s="75">
        <v>6</v>
      </c>
      <c r="C160" s="95" t="s">
        <v>713</v>
      </c>
      <c r="D160" s="76" t="s">
        <v>765</v>
      </c>
      <c r="E160" s="82">
        <f t="shared" si="18"/>
        <v>200</v>
      </c>
      <c r="F160" s="82"/>
      <c r="G160" s="75">
        <f>B151</f>
        <v>60</v>
      </c>
      <c r="H160" s="75">
        <v>1</v>
      </c>
      <c r="I160" s="91">
        <f t="shared" si="15"/>
        <v>12000</v>
      </c>
      <c r="J160" s="82">
        <f t="shared" si="16"/>
        <v>6000</v>
      </c>
      <c r="K160" s="39"/>
      <c r="L160" s="39"/>
      <c r="M160" s="39"/>
      <c r="N160" s="39"/>
      <c r="O160" s="39"/>
      <c r="P160" s="39"/>
      <c r="Q160" s="39"/>
      <c r="R160" s="39"/>
      <c r="S160" s="39"/>
      <c r="T160" s="39"/>
      <c r="U160" s="39"/>
      <c r="V160" s="39"/>
      <c r="W160" s="39"/>
      <c r="X160" s="39"/>
      <c r="Y160" s="39"/>
      <c r="Z160" s="39"/>
    </row>
    <row r="161" spans="1:26" ht="15.75" customHeight="1">
      <c r="A161" s="61"/>
      <c r="B161" s="75">
        <v>7</v>
      </c>
      <c r="C161" s="76" t="s">
        <v>717</v>
      </c>
      <c r="D161" s="76" t="s">
        <v>768</v>
      </c>
      <c r="E161" s="81">
        <v>0.1</v>
      </c>
      <c r="F161" s="81"/>
      <c r="G161" s="75"/>
      <c r="H161" s="75"/>
      <c r="I161" s="91">
        <f>SUM(I156:I160)*E161</f>
        <v>31556.75</v>
      </c>
      <c r="J161" s="82">
        <f t="shared" si="16"/>
        <v>15778.375</v>
      </c>
      <c r="K161" s="39"/>
      <c r="L161" s="39"/>
      <c r="M161" s="39"/>
      <c r="N161" s="39"/>
      <c r="O161" s="39"/>
      <c r="P161" s="39"/>
      <c r="Q161" s="39"/>
      <c r="R161" s="39"/>
      <c r="S161" s="39"/>
      <c r="T161" s="39"/>
      <c r="U161" s="39"/>
      <c r="V161" s="39"/>
      <c r="W161" s="39"/>
      <c r="X161" s="39"/>
      <c r="Y161" s="39"/>
      <c r="Z161" s="39"/>
    </row>
    <row r="162" spans="1:26" ht="15.75" customHeight="1">
      <c r="A162" s="61"/>
      <c r="B162" s="75">
        <v>8</v>
      </c>
      <c r="C162" s="76" t="s">
        <v>769</v>
      </c>
      <c r="D162" s="76" t="s">
        <v>764</v>
      </c>
      <c r="E162" s="82">
        <f>E33</f>
        <v>3334</v>
      </c>
      <c r="F162" s="82"/>
      <c r="G162" s="75">
        <f>B154</f>
        <v>2</v>
      </c>
      <c r="H162" s="75">
        <f>B153</f>
        <v>3</v>
      </c>
      <c r="I162" s="91">
        <f>E162*G162*H162</f>
        <v>20004</v>
      </c>
      <c r="J162" s="82">
        <f t="shared" si="16"/>
        <v>10002</v>
      </c>
      <c r="K162" s="39"/>
      <c r="L162" s="39"/>
      <c r="M162" s="39"/>
      <c r="N162" s="39"/>
      <c r="O162" s="39"/>
      <c r="P162" s="39"/>
      <c r="Q162" s="39"/>
      <c r="R162" s="39"/>
      <c r="S162" s="39"/>
      <c r="T162" s="39"/>
      <c r="U162" s="39"/>
      <c r="V162" s="39"/>
      <c r="W162" s="39"/>
      <c r="X162" s="39"/>
      <c r="Y162" s="39"/>
      <c r="Z162" s="39"/>
    </row>
    <row r="163" spans="1:26" ht="15.75" customHeight="1">
      <c r="A163" s="61"/>
      <c r="B163" s="83"/>
      <c r="C163" s="83" t="s">
        <v>770</v>
      </c>
      <c r="D163" s="83"/>
      <c r="E163" s="83"/>
      <c r="F163" s="84"/>
      <c r="G163" s="85"/>
      <c r="H163" s="85"/>
      <c r="I163" s="687">
        <f>SUM(I156:I162)</f>
        <v>367128.25</v>
      </c>
      <c r="J163" s="86">
        <f t="shared" si="16"/>
        <v>183564.125</v>
      </c>
      <c r="K163" s="39"/>
      <c r="L163" s="39"/>
      <c r="M163" s="39"/>
      <c r="N163" s="39"/>
      <c r="O163" s="39"/>
      <c r="P163" s="39"/>
      <c r="Q163" s="39"/>
      <c r="R163" s="39"/>
      <c r="S163" s="39"/>
      <c r="T163" s="39"/>
      <c r="U163" s="39"/>
      <c r="V163" s="39"/>
      <c r="W163" s="39"/>
      <c r="X163" s="39"/>
      <c r="Y163" s="39"/>
      <c r="Z163" s="39"/>
    </row>
    <row r="164" spans="1:26" ht="15.75" customHeight="1">
      <c r="A164" s="61"/>
      <c r="B164" s="39"/>
      <c r="C164" s="39"/>
      <c r="D164" s="39"/>
      <c r="E164" s="39"/>
      <c r="F164" s="39"/>
      <c r="G164" s="39"/>
      <c r="H164" s="87" t="s">
        <v>771</v>
      </c>
      <c r="I164" s="88">
        <f>I163/B151/B153</f>
        <v>2039.601388888889</v>
      </c>
      <c r="J164" s="89">
        <f t="shared" si="16"/>
        <v>1019.8006944444445</v>
      </c>
      <c r="K164" s="39"/>
      <c r="L164" s="39"/>
      <c r="M164" s="39"/>
      <c r="N164" s="39"/>
      <c r="O164" s="39"/>
      <c r="P164" s="39"/>
      <c r="Q164" s="39"/>
      <c r="R164" s="39"/>
      <c r="S164" s="39"/>
      <c r="T164" s="39"/>
      <c r="U164" s="39"/>
      <c r="V164" s="39"/>
      <c r="W164" s="39"/>
      <c r="X164" s="39"/>
      <c r="Y164" s="39"/>
      <c r="Z164" s="39"/>
    </row>
    <row r="165" spans="1:26" ht="15.75" customHeight="1">
      <c r="A165" s="61"/>
      <c r="B165" s="39"/>
      <c r="C165" s="39"/>
      <c r="D165" s="39"/>
      <c r="E165" s="39"/>
      <c r="F165" s="39"/>
      <c r="G165" s="39"/>
      <c r="H165" s="90" t="s">
        <v>772</v>
      </c>
      <c r="I165" s="688">
        <f>B151*B153</f>
        <v>180</v>
      </c>
      <c r="J165" s="39"/>
      <c r="K165" s="39"/>
      <c r="L165" s="39"/>
      <c r="M165" s="39"/>
      <c r="N165" s="39"/>
      <c r="O165" s="39"/>
      <c r="P165" s="39"/>
      <c r="Q165" s="39"/>
      <c r="R165" s="39"/>
      <c r="S165" s="39"/>
      <c r="T165" s="39"/>
      <c r="U165" s="39"/>
      <c r="V165" s="39"/>
      <c r="W165" s="39"/>
      <c r="X165" s="39"/>
      <c r="Y165" s="39"/>
      <c r="Z165" s="39"/>
    </row>
    <row r="166" spans="1:26"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683" t="s">
        <v>783</v>
      </c>
      <c r="B167" s="694" t="s">
        <v>784</v>
      </c>
      <c r="C167" s="689"/>
      <c r="D167" s="689"/>
      <c r="E167" s="689"/>
      <c r="F167" s="690"/>
      <c r="G167" s="691"/>
      <c r="H167" s="692"/>
      <c r="I167" s="693"/>
      <c r="J167" s="693"/>
      <c r="K167" s="39"/>
      <c r="L167" s="39"/>
      <c r="M167" s="39"/>
      <c r="N167" s="39"/>
      <c r="O167" s="39"/>
      <c r="P167" s="39"/>
      <c r="Q167" s="39"/>
      <c r="R167" s="39"/>
      <c r="S167" s="39"/>
      <c r="T167" s="39"/>
      <c r="U167" s="39"/>
      <c r="V167" s="39"/>
      <c r="W167" s="39"/>
      <c r="X167" s="39"/>
      <c r="Y167" s="39"/>
      <c r="Z167" s="39"/>
    </row>
    <row r="168" spans="1:26" ht="15.75" customHeight="1">
      <c r="A168" s="39"/>
      <c r="B168" s="695">
        <v>2</v>
      </c>
      <c r="C168" s="61" t="s">
        <v>785</v>
      </c>
      <c r="D168" s="96"/>
      <c r="E168" s="96"/>
      <c r="F168" s="97"/>
      <c r="G168" s="96"/>
      <c r="H168" s="96"/>
      <c r="I168" s="98"/>
      <c r="J168" s="39"/>
      <c r="K168" s="39"/>
      <c r="L168" s="39"/>
      <c r="M168" s="39"/>
      <c r="N168" s="39"/>
      <c r="O168" s="39"/>
      <c r="P168" s="39"/>
      <c r="Q168" s="39"/>
      <c r="R168" s="39"/>
      <c r="S168" s="39"/>
      <c r="T168" s="39"/>
      <c r="U168" s="39"/>
      <c r="V168" s="39"/>
      <c r="W168" s="39"/>
      <c r="X168" s="39"/>
      <c r="Y168" s="39"/>
      <c r="Z168" s="39"/>
    </row>
    <row r="169" spans="1:26" ht="15.75" customHeight="1">
      <c r="A169" s="39"/>
      <c r="B169" s="695">
        <v>1</v>
      </c>
      <c r="C169" s="61" t="s">
        <v>753</v>
      </c>
      <c r="D169" s="96"/>
      <c r="E169" s="96"/>
      <c r="F169" s="97"/>
      <c r="G169" s="96"/>
      <c r="H169" s="99"/>
      <c r="I169" s="98"/>
      <c r="J169" s="39"/>
      <c r="K169" s="39"/>
      <c r="L169" s="39"/>
      <c r="M169" s="39"/>
      <c r="N169" s="39"/>
      <c r="O169" s="39"/>
      <c r="P169" s="39"/>
      <c r="Q169" s="39"/>
      <c r="R169" s="39"/>
      <c r="S169" s="39"/>
      <c r="T169" s="39"/>
      <c r="U169" s="39"/>
      <c r="V169" s="39"/>
      <c r="W169" s="39"/>
      <c r="X169" s="39"/>
      <c r="Y169" s="39"/>
      <c r="Z169" s="39"/>
    </row>
    <row r="170" spans="1:26" ht="15.75" customHeight="1">
      <c r="A170" s="39"/>
      <c r="B170" s="100" t="s">
        <v>755</v>
      </c>
      <c r="C170" s="100" t="s">
        <v>756</v>
      </c>
      <c r="D170" s="100" t="s">
        <v>697</v>
      </c>
      <c r="E170" s="101" t="s">
        <v>757</v>
      </c>
      <c r="F170" s="101"/>
      <c r="G170" s="100" t="s">
        <v>786</v>
      </c>
      <c r="H170" s="696" t="s">
        <v>787</v>
      </c>
      <c r="I170" s="102" t="s">
        <v>761</v>
      </c>
      <c r="J170" s="67"/>
      <c r="K170" s="39"/>
      <c r="L170" s="39"/>
      <c r="M170" s="39"/>
      <c r="N170" s="39"/>
      <c r="O170" s="39"/>
      <c r="P170" s="39"/>
      <c r="Q170" s="39"/>
      <c r="R170" s="39"/>
      <c r="S170" s="39"/>
      <c r="T170" s="39"/>
      <c r="U170" s="39"/>
      <c r="V170" s="39"/>
      <c r="W170" s="39"/>
      <c r="X170" s="39"/>
      <c r="Y170" s="39"/>
      <c r="Z170" s="39"/>
    </row>
    <row r="171" spans="1:26" ht="15.75" customHeight="1">
      <c r="A171" s="39"/>
      <c r="B171" s="103">
        <v>1</v>
      </c>
      <c r="C171" s="104" t="s">
        <v>742</v>
      </c>
      <c r="D171" s="104" t="s">
        <v>788</v>
      </c>
      <c r="E171" s="105">
        <f>$E$27</f>
        <v>1235</v>
      </c>
      <c r="F171" s="106"/>
      <c r="G171" s="103">
        <f>B168</f>
        <v>2</v>
      </c>
      <c r="H171" s="107" t="s">
        <v>789</v>
      </c>
      <c r="I171" s="82">
        <f>E171*G171</f>
        <v>2470</v>
      </c>
      <c r="J171" s="67"/>
      <c r="K171" s="39"/>
      <c r="L171" s="39"/>
      <c r="M171" s="39"/>
      <c r="N171" s="39"/>
      <c r="O171" s="39"/>
      <c r="P171" s="39"/>
      <c r="Q171" s="39"/>
      <c r="R171" s="39"/>
      <c r="S171" s="39"/>
      <c r="T171" s="39"/>
      <c r="U171" s="39"/>
      <c r="V171" s="39"/>
      <c r="W171" s="39"/>
      <c r="X171" s="39"/>
      <c r="Y171" s="39"/>
      <c r="Z171" s="39"/>
    </row>
    <row r="172" spans="1:26" ht="15.75" customHeight="1">
      <c r="A172" s="39"/>
      <c r="B172" s="103">
        <v>2</v>
      </c>
      <c r="C172" s="104" t="s">
        <v>732</v>
      </c>
      <c r="D172" s="104" t="s">
        <v>788</v>
      </c>
      <c r="E172" s="105">
        <f>$E$26</f>
        <v>350</v>
      </c>
      <c r="F172" s="106"/>
      <c r="G172" s="103">
        <f>B168</f>
        <v>2</v>
      </c>
      <c r="H172" s="107">
        <f>B169+2</f>
        <v>3</v>
      </c>
      <c r="I172" s="82">
        <f t="shared" ref="I172:I173" si="19">E172*G172*H172</f>
        <v>2100</v>
      </c>
      <c r="J172" s="67"/>
      <c r="K172" s="39"/>
      <c r="L172" s="39"/>
      <c r="M172" s="39"/>
      <c r="N172" s="39"/>
      <c r="O172" s="39"/>
      <c r="P172" s="39"/>
      <c r="Q172" s="39"/>
      <c r="R172" s="39"/>
      <c r="S172" s="39"/>
      <c r="T172" s="39"/>
      <c r="U172" s="39"/>
      <c r="V172" s="39"/>
      <c r="W172" s="39"/>
      <c r="X172" s="39"/>
      <c r="Y172" s="39"/>
      <c r="Z172" s="39"/>
    </row>
    <row r="173" spans="1:26" ht="15.75" customHeight="1">
      <c r="A173" s="39"/>
      <c r="B173" s="103">
        <v>3</v>
      </c>
      <c r="C173" s="104" t="s">
        <v>767</v>
      </c>
      <c r="D173" s="104" t="s">
        <v>788</v>
      </c>
      <c r="E173" s="105">
        <f>$E$25</f>
        <v>1175</v>
      </c>
      <c r="F173" s="106"/>
      <c r="G173" s="103">
        <f>B168</f>
        <v>2</v>
      </c>
      <c r="H173" s="107">
        <f>B169-0.5</f>
        <v>0.5</v>
      </c>
      <c r="I173" s="82">
        <f t="shared" si="19"/>
        <v>1175</v>
      </c>
      <c r="J173" s="67"/>
      <c r="K173" s="39"/>
      <c r="L173" s="39"/>
      <c r="M173" s="39"/>
      <c r="N173" s="39"/>
      <c r="O173" s="39"/>
      <c r="P173" s="39"/>
      <c r="Q173" s="39"/>
      <c r="R173" s="39"/>
      <c r="S173" s="39"/>
      <c r="T173" s="39"/>
      <c r="U173" s="39"/>
      <c r="V173" s="39"/>
      <c r="W173" s="39"/>
      <c r="X173" s="39"/>
      <c r="Y173" s="39"/>
      <c r="Z173" s="39"/>
    </row>
    <row r="174" spans="1:26" ht="15.75" customHeight="1">
      <c r="A174" s="39"/>
      <c r="B174" s="83"/>
      <c r="C174" s="83" t="s">
        <v>790</v>
      </c>
      <c r="D174" s="83"/>
      <c r="E174" s="83"/>
      <c r="F174" s="83"/>
      <c r="G174" s="83"/>
      <c r="H174" s="697"/>
      <c r="I174" s="86">
        <f>SUM(I171:I173)</f>
        <v>5745</v>
      </c>
      <c r="J174" s="67"/>
      <c r="K174" s="39"/>
      <c r="L174" s="39"/>
      <c r="M174" s="39"/>
      <c r="N174" s="39"/>
      <c r="O174" s="39"/>
      <c r="P174" s="39"/>
      <c r="Q174" s="39"/>
      <c r="R174" s="39"/>
      <c r="S174" s="39"/>
      <c r="T174" s="39"/>
      <c r="U174" s="39"/>
      <c r="V174" s="39"/>
      <c r="W174" s="39"/>
      <c r="X174" s="39"/>
      <c r="Y174" s="39"/>
      <c r="Z174" s="39"/>
    </row>
    <row r="175" spans="1:26" ht="15.75" customHeight="1">
      <c r="A175" s="39"/>
      <c r="B175" s="39"/>
      <c r="C175" s="39"/>
      <c r="D175" s="39"/>
      <c r="E175" s="39"/>
      <c r="F175" s="39"/>
      <c r="G175" s="39"/>
      <c r="H175" s="87" t="s">
        <v>791</v>
      </c>
      <c r="I175" s="82">
        <f>I174/B168/B169</f>
        <v>2872.5</v>
      </c>
      <c r="J175" s="67"/>
      <c r="K175" s="39"/>
      <c r="L175" s="39"/>
      <c r="M175" s="39"/>
      <c r="N175" s="39"/>
      <c r="O175" s="39"/>
      <c r="P175" s="39"/>
      <c r="Q175" s="39"/>
      <c r="R175" s="39"/>
      <c r="S175" s="39"/>
      <c r="T175" s="39"/>
      <c r="U175" s="39"/>
      <c r="V175" s="39"/>
      <c r="W175" s="39"/>
      <c r="X175" s="39"/>
      <c r="Y175" s="39"/>
      <c r="Z175" s="39"/>
    </row>
    <row r="176" spans="1:26" ht="15.75" customHeight="1">
      <c r="A176" s="39"/>
      <c r="B176" s="39"/>
      <c r="C176" s="39"/>
      <c r="D176" s="39"/>
      <c r="E176" s="39"/>
      <c r="F176" s="39"/>
      <c r="G176" s="39"/>
      <c r="H176" s="90" t="s">
        <v>792</v>
      </c>
      <c r="I176" s="698">
        <f>B168*B169</f>
        <v>2</v>
      </c>
      <c r="J176" s="67"/>
      <c r="K176" s="39"/>
      <c r="L176" s="39"/>
      <c r="M176" s="39"/>
      <c r="N176" s="39"/>
      <c r="O176" s="39"/>
      <c r="P176" s="39"/>
      <c r="Q176" s="39"/>
      <c r="R176" s="39"/>
      <c r="S176" s="39"/>
      <c r="T176" s="39"/>
      <c r="U176" s="39"/>
      <c r="V176" s="39"/>
      <c r="W176" s="39"/>
      <c r="X176" s="39"/>
      <c r="Y176" s="39"/>
      <c r="Z176" s="39"/>
    </row>
    <row r="177" spans="1:26" ht="15.75" customHeight="1">
      <c r="A177" s="39"/>
      <c r="B177" s="39"/>
      <c r="C177" s="39"/>
      <c r="D177" s="39"/>
      <c r="E177" s="39"/>
      <c r="F177" s="39"/>
      <c r="G177" s="39"/>
      <c r="H177" s="39"/>
      <c r="I177" s="39"/>
      <c r="J177" s="67"/>
      <c r="K177" s="39"/>
      <c r="L177" s="39"/>
      <c r="M177" s="39"/>
      <c r="N177" s="39"/>
      <c r="O177" s="39"/>
      <c r="P177" s="39"/>
      <c r="Q177" s="39"/>
      <c r="R177" s="39"/>
      <c r="S177" s="39"/>
      <c r="T177" s="39"/>
      <c r="U177" s="39"/>
      <c r="V177" s="39"/>
      <c r="W177" s="39"/>
      <c r="X177" s="39"/>
      <c r="Y177" s="39"/>
      <c r="Z177" s="39"/>
    </row>
    <row r="178" spans="1:26" ht="15.75" customHeight="1">
      <c r="A178" s="683" t="s">
        <v>793</v>
      </c>
      <c r="B178" s="694" t="s">
        <v>794</v>
      </c>
      <c r="C178" s="689"/>
      <c r="D178" s="689"/>
      <c r="E178" s="689"/>
      <c r="F178" s="690"/>
      <c r="G178" s="691"/>
      <c r="H178" s="692"/>
      <c r="I178" s="693"/>
      <c r="J178" s="693"/>
      <c r="K178" s="39"/>
      <c r="L178" s="39"/>
      <c r="M178" s="39"/>
      <c r="N178" s="39"/>
      <c r="O178" s="39"/>
      <c r="P178" s="39"/>
      <c r="Q178" s="39"/>
      <c r="R178" s="39"/>
      <c r="S178" s="39"/>
      <c r="T178" s="39"/>
      <c r="U178" s="39"/>
      <c r="V178" s="39"/>
      <c r="W178" s="39"/>
      <c r="X178" s="39"/>
      <c r="Y178" s="39"/>
      <c r="Z178" s="39"/>
    </row>
    <row r="179" spans="1:26" ht="15.75" customHeight="1">
      <c r="A179" s="39"/>
      <c r="B179" s="695">
        <v>2</v>
      </c>
      <c r="C179" s="61" t="s">
        <v>785</v>
      </c>
      <c r="D179" s="96"/>
      <c r="E179" s="96"/>
      <c r="F179" s="97"/>
      <c r="G179" s="96"/>
      <c r="H179" s="96"/>
      <c r="I179" s="98"/>
      <c r="J179" s="67"/>
      <c r="K179" s="39"/>
      <c r="L179" s="39"/>
      <c r="M179" s="39"/>
      <c r="N179" s="39"/>
      <c r="O179" s="39"/>
      <c r="P179" s="39"/>
      <c r="Q179" s="39"/>
      <c r="R179" s="39"/>
      <c r="S179" s="39"/>
      <c r="T179" s="39"/>
      <c r="U179" s="39"/>
      <c r="V179" s="39"/>
      <c r="W179" s="39"/>
      <c r="X179" s="39"/>
      <c r="Y179" s="39"/>
      <c r="Z179" s="39"/>
    </row>
    <row r="180" spans="1:26" ht="15.75" customHeight="1">
      <c r="A180" s="39"/>
      <c r="B180" s="695">
        <v>3</v>
      </c>
      <c r="C180" s="61" t="s">
        <v>753</v>
      </c>
      <c r="D180" s="96"/>
      <c r="E180" s="96"/>
      <c r="F180" s="97"/>
      <c r="G180" s="96"/>
      <c r="H180" s="99"/>
      <c r="I180" s="98"/>
      <c r="J180" s="67"/>
      <c r="K180" s="39"/>
      <c r="L180" s="39"/>
      <c r="M180" s="39"/>
      <c r="N180" s="39"/>
      <c r="O180" s="39"/>
      <c r="P180" s="39"/>
      <c r="Q180" s="39"/>
      <c r="R180" s="39"/>
      <c r="S180" s="39"/>
      <c r="T180" s="39"/>
      <c r="U180" s="39"/>
      <c r="V180" s="39"/>
      <c r="W180" s="39"/>
      <c r="X180" s="39"/>
      <c r="Y180" s="39"/>
      <c r="Z180" s="39"/>
    </row>
    <row r="181" spans="1:26" ht="15.75" customHeight="1">
      <c r="A181" s="39"/>
      <c r="B181" s="100" t="s">
        <v>755</v>
      </c>
      <c r="C181" s="100" t="s">
        <v>756</v>
      </c>
      <c r="D181" s="100" t="s">
        <v>697</v>
      </c>
      <c r="E181" s="101" t="s">
        <v>757</v>
      </c>
      <c r="F181" s="101"/>
      <c r="G181" s="100" t="s">
        <v>786</v>
      </c>
      <c r="H181" s="100" t="s">
        <v>787</v>
      </c>
      <c r="I181" s="102" t="s">
        <v>761</v>
      </c>
      <c r="J181" s="67"/>
      <c r="K181" s="39"/>
      <c r="L181" s="39"/>
      <c r="M181" s="39"/>
      <c r="N181" s="39"/>
      <c r="O181" s="39"/>
      <c r="P181" s="39"/>
      <c r="Q181" s="39"/>
      <c r="R181" s="39"/>
      <c r="S181" s="39"/>
      <c r="T181" s="39"/>
      <c r="U181" s="39"/>
      <c r="V181" s="39"/>
      <c r="W181" s="39"/>
      <c r="X181" s="39"/>
      <c r="Y181" s="39"/>
      <c r="Z181" s="39"/>
    </row>
    <row r="182" spans="1:26" ht="15.75" customHeight="1">
      <c r="A182" s="39"/>
      <c r="B182" s="103">
        <v>1</v>
      </c>
      <c r="C182" s="104" t="s">
        <v>742</v>
      </c>
      <c r="D182" s="104" t="s">
        <v>788</v>
      </c>
      <c r="E182" s="105">
        <f>$E$27</f>
        <v>1235</v>
      </c>
      <c r="F182" s="106"/>
      <c r="G182" s="103">
        <f>B179</f>
        <v>2</v>
      </c>
      <c r="H182" s="103" t="s">
        <v>789</v>
      </c>
      <c r="I182" s="82">
        <f>E182*G182</f>
        <v>2470</v>
      </c>
      <c r="J182" s="67"/>
      <c r="K182" s="39"/>
      <c r="L182" s="39"/>
      <c r="M182" s="39"/>
      <c r="N182" s="39"/>
      <c r="O182" s="39"/>
      <c r="P182" s="39"/>
      <c r="Q182" s="39"/>
      <c r="R182" s="39"/>
      <c r="S182" s="39"/>
      <c r="T182" s="39"/>
      <c r="U182" s="39"/>
      <c r="V182" s="39"/>
      <c r="W182" s="39"/>
      <c r="X182" s="39"/>
      <c r="Y182" s="39"/>
      <c r="Z182" s="39"/>
    </row>
    <row r="183" spans="1:26" ht="15.75" customHeight="1">
      <c r="A183" s="39"/>
      <c r="B183" s="103">
        <v>2</v>
      </c>
      <c r="C183" s="104" t="s">
        <v>732</v>
      </c>
      <c r="D183" s="104" t="s">
        <v>788</v>
      </c>
      <c r="E183" s="105">
        <f>$E$26</f>
        <v>350</v>
      </c>
      <c r="F183" s="106"/>
      <c r="G183" s="103">
        <f>B179</f>
        <v>2</v>
      </c>
      <c r="H183" s="103">
        <f>B180+2</f>
        <v>5</v>
      </c>
      <c r="I183" s="82">
        <f t="shared" ref="I183:I184" si="20">E183*G183*H183</f>
        <v>3500</v>
      </c>
      <c r="J183" s="67"/>
      <c r="K183" s="39"/>
      <c r="L183" s="39"/>
      <c r="M183" s="39"/>
      <c r="N183" s="39"/>
      <c r="O183" s="39"/>
      <c r="P183" s="39"/>
      <c r="Q183" s="39"/>
      <c r="R183" s="39"/>
      <c r="S183" s="39"/>
      <c r="T183" s="39"/>
      <c r="U183" s="39"/>
      <c r="V183" s="39"/>
      <c r="W183" s="39"/>
      <c r="X183" s="39"/>
      <c r="Y183" s="39"/>
      <c r="Z183" s="39"/>
    </row>
    <row r="184" spans="1:26" ht="15.75" customHeight="1">
      <c r="A184" s="39"/>
      <c r="B184" s="103">
        <v>3</v>
      </c>
      <c r="C184" s="104" t="s">
        <v>767</v>
      </c>
      <c r="D184" s="104" t="s">
        <v>788</v>
      </c>
      <c r="E184" s="105">
        <f>$E$25</f>
        <v>1175</v>
      </c>
      <c r="F184" s="106"/>
      <c r="G184" s="103">
        <f>B179</f>
        <v>2</v>
      </c>
      <c r="H184" s="103">
        <f>B180-0.5</f>
        <v>2.5</v>
      </c>
      <c r="I184" s="82">
        <f t="shared" si="20"/>
        <v>5875</v>
      </c>
      <c r="J184" s="67"/>
      <c r="K184" s="39"/>
      <c r="L184" s="39"/>
      <c r="M184" s="39"/>
      <c r="N184" s="39"/>
      <c r="O184" s="39"/>
      <c r="P184" s="39"/>
      <c r="Q184" s="39"/>
      <c r="R184" s="39"/>
      <c r="S184" s="39"/>
      <c r="T184" s="39"/>
      <c r="U184" s="39"/>
      <c r="V184" s="39"/>
      <c r="W184" s="39"/>
      <c r="X184" s="39"/>
      <c r="Y184" s="39"/>
      <c r="Z184" s="39"/>
    </row>
    <row r="185" spans="1:26" ht="15.75" customHeight="1">
      <c r="A185" s="39"/>
      <c r="B185" s="83"/>
      <c r="C185" s="83" t="s">
        <v>790</v>
      </c>
      <c r="D185" s="83"/>
      <c r="E185" s="83"/>
      <c r="F185" s="83"/>
      <c r="G185" s="83"/>
      <c r="H185" s="83"/>
      <c r="I185" s="86">
        <f>SUM(I182:I184)</f>
        <v>11845</v>
      </c>
      <c r="J185" s="67"/>
      <c r="K185" s="39"/>
      <c r="L185" s="39"/>
      <c r="M185" s="39"/>
      <c r="N185" s="39"/>
      <c r="O185" s="39"/>
      <c r="P185" s="39"/>
      <c r="Q185" s="39"/>
      <c r="R185" s="39"/>
      <c r="S185" s="39"/>
      <c r="T185" s="39"/>
      <c r="U185" s="39"/>
      <c r="V185" s="39"/>
      <c r="W185" s="39"/>
      <c r="X185" s="39"/>
      <c r="Y185" s="39"/>
      <c r="Z185" s="39"/>
    </row>
    <row r="186" spans="1:26" ht="15.75" customHeight="1">
      <c r="A186" s="39"/>
      <c r="B186" s="39"/>
      <c r="C186" s="39"/>
      <c r="D186" s="39"/>
      <c r="E186" s="39"/>
      <c r="F186" s="39"/>
      <c r="G186" s="39"/>
      <c r="H186" s="87" t="s">
        <v>791</v>
      </c>
      <c r="I186" s="88">
        <f>I185/B179/B180</f>
        <v>1974.1666666666667</v>
      </c>
      <c r="J186" s="67"/>
      <c r="K186" s="39"/>
      <c r="L186" s="39"/>
      <c r="M186" s="39"/>
      <c r="N186" s="39"/>
      <c r="O186" s="39"/>
      <c r="P186" s="39"/>
      <c r="Q186" s="39"/>
      <c r="R186" s="39"/>
      <c r="S186" s="39"/>
      <c r="T186" s="39"/>
      <c r="U186" s="39"/>
      <c r="V186" s="39"/>
      <c r="W186" s="39"/>
      <c r="X186" s="39"/>
      <c r="Y186" s="39"/>
      <c r="Z186" s="39"/>
    </row>
    <row r="187" spans="1:26" ht="15.75" customHeight="1">
      <c r="A187" s="39"/>
      <c r="B187" s="39"/>
      <c r="C187" s="39"/>
      <c r="D187" s="39"/>
      <c r="E187" s="39"/>
      <c r="F187" s="39"/>
      <c r="G187" s="39"/>
      <c r="H187" s="90" t="s">
        <v>792</v>
      </c>
      <c r="I187" s="698">
        <f>B179*B180</f>
        <v>6</v>
      </c>
      <c r="J187" s="67"/>
      <c r="K187" s="39"/>
      <c r="L187" s="39"/>
      <c r="M187" s="39"/>
      <c r="N187" s="39"/>
      <c r="O187" s="39"/>
      <c r="P187" s="39"/>
      <c r="Q187" s="39"/>
      <c r="R187" s="39"/>
      <c r="S187" s="39"/>
      <c r="T187" s="39"/>
      <c r="U187" s="39"/>
      <c r="V187" s="39"/>
      <c r="W187" s="39"/>
      <c r="X187" s="39"/>
      <c r="Y187" s="39"/>
      <c r="Z187" s="39"/>
    </row>
    <row r="188" spans="1:26" ht="15.75" customHeight="1">
      <c r="A188" s="39"/>
      <c r="B188" s="39"/>
      <c r="C188" s="39"/>
      <c r="D188" s="39"/>
      <c r="E188" s="39"/>
      <c r="F188" s="39"/>
      <c r="G188" s="39"/>
      <c r="H188" s="39"/>
      <c r="I188" s="39"/>
      <c r="J188" s="67"/>
      <c r="K188" s="39"/>
      <c r="L188" s="39"/>
      <c r="M188" s="39"/>
      <c r="N188" s="39"/>
      <c r="O188" s="39"/>
      <c r="P188" s="39"/>
      <c r="Q188" s="39"/>
      <c r="R188" s="39"/>
      <c r="S188" s="39"/>
      <c r="T188" s="39"/>
      <c r="U188" s="39"/>
      <c r="V188" s="39"/>
      <c r="W188" s="39"/>
      <c r="X188" s="39"/>
      <c r="Y188" s="39"/>
      <c r="Z188" s="39"/>
    </row>
    <row r="189" spans="1:26" ht="15.75" customHeight="1">
      <c r="A189" s="39"/>
      <c r="B189" s="39"/>
      <c r="C189" s="39"/>
      <c r="D189" s="39"/>
      <c r="E189" s="39"/>
      <c r="F189" s="39"/>
      <c r="G189" s="39"/>
      <c r="H189" s="39"/>
      <c r="I189" s="39"/>
      <c r="J189" s="67"/>
      <c r="K189" s="39"/>
      <c r="L189" s="39"/>
      <c r="M189" s="39"/>
      <c r="N189" s="39"/>
      <c r="O189" s="39"/>
      <c r="P189" s="39"/>
      <c r="Q189" s="39"/>
      <c r="R189" s="39"/>
      <c r="S189" s="39"/>
      <c r="T189" s="39"/>
      <c r="U189" s="39"/>
      <c r="V189" s="39"/>
      <c r="W189" s="39"/>
      <c r="X189" s="39"/>
      <c r="Y189" s="39"/>
      <c r="Z189" s="39"/>
    </row>
    <row r="190" spans="1:26" ht="15.75" customHeight="1">
      <c r="A190" s="683" t="s">
        <v>795</v>
      </c>
      <c r="B190" s="694" t="s">
        <v>796</v>
      </c>
      <c r="C190" s="694"/>
      <c r="D190" s="694"/>
      <c r="E190" s="694"/>
      <c r="F190" s="694"/>
      <c r="G190" s="694"/>
      <c r="H190" s="694"/>
      <c r="I190" s="699"/>
      <c r="J190" s="699"/>
      <c r="K190" s="39"/>
      <c r="L190" s="39"/>
      <c r="M190" s="39"/>
      <c r="N190" s="39"/>
      <c r="O190" s="39"/>
      <c r="P190" s="39"/>
      <c r="Q190" s="39"/>
      <c r="R190" s="39"/>
      <c r="S190" s="39"/>
      <c r="T190" s="39"/>
      <c r="U190" s="39"/>
      <c r="V190" s="39"/>
      <c r="W190" s="39"/>
      <c r="X190" s="39"/>
      <c r="Y190" s="39"/>
      <c r="Z190" s="39"/>
    </row>
    <row r="191" spans="1:26" ht="15.75" customHeight="1">
      <c r="A191" s="39"/>
      <c r="B191" s="695">
        <v>1</v>
      </c>
      <c r="C191" s="61" t="s">
        <v>785</v>
      </c>
      <c r="D191" s="96"/>
      <c r="E191" s="96"/>
      <c r="F191" s="97"/>
      <c r="G191" s="96"/>
      <c r="H191" s="96"/>
      <c r="I191" s="98"/>
      <c r="J191" s="39"/>
      <c r="K191" s="39"/>
      <c r="L191" s="39"/>
      <c r="M191" s="39"/>
      <c r="N191" s="39"/>
      <c r="O191" s="39"/>
      <c r="P191" s="39"/>
      <c r="Q191" s="39"/>
      <c r="R191" s="39"/>
      <c r="S191" s="39"/>
      <c r="T191" s="39"/>
      <c r="U191" s="39"/>
      <c r="V191" s="39"/>
      <c r="W191" s="39"/>
      <c r="X191" s="39"/>
      <c r="Y191" s="39"/>
      <c r="Z191" s="39"/>
    </row>
    <row r="192" spans="1:26" ht="15.75" customHeight="1">
      <c r="A192" s="39"/>
      <c r="B192" s="695">
        <v>3</v>
      </c>
      <c r="C192" s="61" t="s">
        <v>753</v>
      </c>
      <c r="D192" s="96"/>
      <c r="E192" s="96"/>
      <c r="F192" s="97"/>
      <c r="G192" s="96"/>
      <c r="H192" s="99"/>
      <c r="I192" s="98"/>
      <c r="J192" s="39"/>
      <c r="K192" s="39"/>
      <c r="L192" s="39"/>
      <c r="M192" s="39"/>
      <c r="N192" s="39"/>
      <c r="O192" s="39"/>
      <c r="P192" s="39"/>
      <c r="Q192" s="39"/>
      <c r="R192" s="39"/>
      <c r="S192" s="39"/>
      <c r="T192" s="39"/>
      <c r="U192" s="39"/>
      <c r="V192" s="39"/>
      <c r="W192" s="39"/>
      <c r="X192" s="39"/>
      <c r="Y192" s="39"/>
      <c r="Z192" s="39"/>
    </row>
    <row r="193" spans="1:26" ht="15.75" customHeight="1">
      <c r="A193" s="39"/>
      <c r="B193" s="100" t="s">
        <v>755</v>
      </c>
      <c r="C193" s="100" t="s">
        <v>756</v>
      </c>
      <c r="D193" s="100" t="s">
        <v>697</v>
      </c>
      <c r="E193" s="101" t="s">
        <v>757</v>
      </c>
      <c r="F193" s="101"/>
      <c r="G193" s="100" t="s">
        <v>786</v>
      </c>
      <c r="H193" s="100" t="s">
        <v>787</v>
      </c>
      <c r="I193" s="102" t="s">
        <v>761</v>
      </c>
      <c r="J193" s="67"/>
      <c r="K193" s="39"/>
      <c r="L193" s="39"/>
      <c r="M193" s="39"/>
      <c r="N193" s="39"/>
      <c r="O193" s="39"/>
      <c r="P193" s="39"/>
      <c r="Q193" s="39"/>
      <c r="R193" s="39"/>
      <c r="S193" s="39"/>
      <c r="T193" s="39"/>
      <c r="U193" s="39"/>
      <c r="V193" s="39"/>
      <c r="W193" s="39"/>
      <c r="X193" s="39"/>
      <c r="Y193" s="39"/>
      <c r="Z193" s="39"/>
    </row>
    <row r="194" spans="1:26" ht="15.75" customHeight="1">
      <c r="A194" s="39"/>
      <c r="B194" s="103">
        <v>1</v>
      </c>
      <c r="C194" s="104" t="s">
        <v>742</v>
      </c>
      <c r="D194" s="104" t="s">
        <v>788</v>
      </c>
      <c r="E194" s="105">
        <f>$E$27</f>
        <v>1235</v>
      </c>
      <c r="F194" s="106"/>
      <c r="G194" s="103">
        <f>B191</f>
        <v>1</v>
      </c>
      <c r="H194" s="103" t="s">
        <v>789</v>
      </c>
      <c r="I194" s="82">
        <f>E194*G194</f>
        <v>1235</v>
      </c>
      <c r="J194" s="67"/>
      <c r="K194" s="39"/>
      <c r="L194" s="39"/>
      <c r="M194" s="39"/>
      <c r="N194" s="39"/>
      <c r="O194" s="39"/>
      <c r="P194" s="39"/>
      <c r="Q194" s="39"/>
      <c r="R194" s="39"/>
      <c r="S194" s="39"/>
      <c r="T194" s="39"/>
      <c r="U194" s="39"/>
      <c r="V194" s="39"/>
      <c r="W194" s="39"/>
      <c r="X194" s="39"/>
      <c r="Y194" s="39"/>
      <c r="Z194" s="39"/>
    </row>
    <row r="195" spans="1:26" ht="15.75" customHeight="1">
      <c r="A195" s="39"/>
      <c r="B195" s="103">
        <v>2</v>
      </c>
      <c r="C195" s="104" t="s">
        <v>732</v>
      </c>
      <c r="D195" s="104" t="s">
        <v>788</v>
      </c>
      <c r="E195" s="105">
        <f>$E$26</f>
        <v>350</v>
      </c>
      <c r="F195" s="106"/>
      <c r="G195" s="103">
        <f>B191</f>
        <v>1</v>
      </c>
      <c r="H195" s="103">
        <f>B192+2</f>
        <v>5</v>
      </c>
      <c r="I195" s="82">
        <f t="shared" ref="I195:I196" si="21">E195*G195*H195</f>
        <v>1750</v>
      </c>
      <c r="J195" s="67"/>
      <c r="K195" s="39"/>
      <c r="L195" s="39"/>
      <c r="M195" s="39"/>
      <c r="N195" s="39"/>
      <c r="O195" s="39"/>
      <c r="P195" s="39"/>
      <c r="Q195" s="39"/>
      <c r="R195" s="39"/>
      <c r="S195" s="39"/>
      <c r="T195" s="39"/>
      <c r="U195" s="39"/>
      <c r="V195" s="39"/>
      <c r="W195" s="39"/>
      <c r="X195" s="39"/>
      <c r="Y195" s="39"/>
      <c r="Z195" s="39"/>
    </row>
    <row r="196" spans="1:26" ht="15.75" customHeight="1">
      <c r="A196" s="39"/>
      <c r="B196" s="103">
        <v>3</v>
      </c>
      <c r="C196" s="104" t="s">
        <v>767</v>
      </c>
      <c r="D196" s="104" t="s">
        <v>788</v>
      </c>
      <c r="E196" s="105">
        <f>$E$25</f>
        <v>1175</v>
      </c>
      <c r="F196" s="106"/>
      <c r="G196" s="103">
        <f>B191</f>
        <v>1</v>
      </c>
      <c r="H196" s="103">
        <f>B192-0.5</f>
        <v>2.5</v>
      </c>
      <c r="I196" s="82">
        <f t="shared" si="21"/>
        <v>2937.5</v>
      </c>
      <c r="J196" s="67"/>
      <c r="K196" s="39"/>
      <c r="L196" s="39"/>
      <c r="M196" s="39"/>
      <c r="N196" s="39"/>
      <c r="O196" s="39"/>
      <c r="P196" s="39"/>
      <c r="Q196" s="39"/>
      <c r="R196" s="39"/>
      <c r="S196" s="39"/>
      <c r="T196" s="39"/>
      <c r="U196" s="39"/>
      <c r="V196" s="39"/>
      <c r="W196" s="39"/>
      <c r="X196" s="39"/>
      <c r="Y196" s="39"/>
      <c r="Z196" s="39"/>
    </row>
    <row r="197" spans="1:26" ht="15.75" customHeight="1">
      <c r="A197" s="39"/>
      <c r="B197" s="83"/>
      <c r="C197" s="83" t="s">
        <v>790</v>
      </c>
      <c r="D197" s="83"/>
      <c r="E197" s="83"/>
      <c r="F197" s="83"/>
      <c r="G197" s="83"/>
      <c r="H197" s="83"/>
      <c r="I197" s="86">
        <f>SUM(I194:I196)</f>
        <v>5922.5</v>
      </c>
      <c r="J197" s="67"/>
      <c r="K197" s="39"/>
      <c r="L197" s="39"/>
      <c r="M197" s="39"/>
      <c r="N197" s="39"/>
      <c r="O197" s="39"/>
      <c r="P197" s="39"/>
      <c r="Q197" s="39"/>
      <c r="R197" s="39"/>
      <c r="S197" s="39"/>
      <c r="T197" s="39"/>
      <c r="U197" s="39"/>
      <c r="V197" s="39"/>
      <c r="W197" s="39"/>
      <c r="X197" s="39"/>
      <c r="Y197" s="39"/>
      <c r="Z197" s="39"/>
    </row>
    <row r="198" spans="1:26" ht="15.75" customHeight="1">
      <c r="A198" s="39"/>
      <c r="B198" s="39"/>
      <c r="C198" s="39"/>
      <c r="D198" s="39"/>
      <c r="E198" s="39"/>
      <c r="F198" s="39"/>
      <c r="G198" s="39"/>
      <c r="H198" s="87" t="s">
        <v>791</v>
      </c>
      <c r="I198" s="88">
        <f>I197/B191/B192</f>
        <v>1974.1666666666667</v>
      </c>
      <c r="J198" s="67"/>
      <c r="K198" s="39"/>
      <c r="L198" s="39"/>
      <c r="M198" s="39"/>
      <c r="N198" s="39"/>
      <c r="O198" s="39"/>
      <c r="P198" s="39"/>
      <c r="Q198" s="39"/>
      <c r="R198" s="39"/>
      <c r="S198" s="39"/>
      <c r="T198" s="39"/>
      <c r="U198" s="39"/>
      <c r="V198" s="39"/>
      <c r="W198" s="39"/>
      <c r="X198" s="39"/>
      <c r="Y198" s="39"/>
      <c r="Z198" s="39"/>
    </row>
    <row r="199" spans="1:26" ht="15.75" customHeight="1">
      <c r="A199" s="39"/>
      <c r="B199" s="39"/>
      <c r="C199" s="39"/>
      <c r="D199" s="39"/>
      <c r="E199" s="39"/>
      <c r="F199" s="39"/>
      <c r="G199" s="39"/>
      <c r="H199" s="90" t="s">
        <v>792</v>
      </c>
      <c r="I199" s="698">
        <f>B191*B192</f>
        <v>3</v>
      </c>
      <c r="J199" s="39"/>
      <c r="K199" s="39"/>
      <c r="L199" s="39"/>
      <c r="M199" s="39"/>
      <c r="N199" s="39"/>
      <c r="O199" s="39"/>
      <c r="P199" s="39"/>
      <c r="Q199" s="39"/>
      <c r="R199" s="39"/>
      <c r="S199" s="39"/>
      <c r="T199" s="39"/>
      <c r="U199" s="39"/>
      <c r="V199" s="39"/>
      <c r="W199" s="39"/>
      <c r="X199" s="39"/>
      <c r="Y199" s="39"/>
      <c r="Z199" s="39"/>
    </row>
    <row r="200" spans="1:26" ht="15.75" customHeight="1">
      <c r="A200" s="39"/>
      <c r="B200" s="39"/>
      <c r="C200" s="39"/>
      <c r="D200" s="39"/>
      <c r="E200" s="39"/>
      <c r="F200" s="39"/>
      <c r="G200" s="39"/>
      <c r="H200" s="39"/>
      <c r="I200" s="39"/>
      <c r="J200" s="67"/>
      <c r="K200" s="39"/>
      <c r="L200" s="39"/>
      <c r="M200" s="39"/>
      <c r="N200" s="39"/>
      <c r="O200" s="39"/>
      <c r="P200" s="39"/>
      <c r="Q200" s="39"/>
      <c r="R200" s="39"/>
      <c r="S200" s="39"/>
      <c r="T200" s="39"/>
      <c r="U200" s="39"/>
      <c r="V200" s="39"/>
      <c r="W200" s="39"/>
      <c r="X200" s="39"/>
      <c r="Y200" s="39"/>
      <c r="Z200" s="39"/>
    </row>
    <row r="201" spans="1:26" ht="15.75" customHeight="1">
      <c r="A201" s="39"/>
      <c r="B201" s="39"/>
      <c r="C201" s="39"/>
      <c r="D201" s="39"/>
      <c r="E201" s="39"/>
      <c r="F201" s="39"/>
      <c r="G201" s="39"/>
      <c r="H201" s="39"/>
      <c r="I201" s="39"/>
      <c r="J201" s="67"/>
      <c r="K201" s="39"/>
      <c r="L201" s="39"/>
      <c r="M201" s="39"/>
      <c r="N201" s="39"/>
      <c r="O201" s="39"/>
      <c r="P201" s="39"/>
      <c r="Q201" s="39"/>
      <c r="R201" s="39"/>
      <c r="S201" s="39"/>
      <c r="T201" s="39"/>
      <c r="U201" s="39"/>
      <c r="V201" s="39"/>
      <c r="W201" s="39"/>
      <c r="X201" s="39"/>
      <c r="Y201" s="39"/>
      <c r="Z201" s="39"/>
    </row>
    <row r="202" spans="1:26" ht="15.75" customHeight="1">
      <c r="A202" s="683" t="s">
        <v>797</v>
      </c>
      <c r="B202" s="694" t="s">
        <v>798</v>
      </c>
      <c r="C202" s="694"/>
      <c r="D202" s="694"/>
      <c r="E202" s="694"/>
      <c r="F202" s="694"/>
      <c r="G202" s="694"/>
      <c r="H202" s="694"/>
      <c r="I202" s="699"/>
      <c r="J202" s="699"/>
      <c r="K202" s="39"/>
      <c r="L202" s="39"/>
      <c r="M202" s="39"/>
      <c r="N202" s="39"/>
      <c r="O202" s="39"/>
      <c r="P202" s="39"/>
      <c r="Q202" s="39"/>
      <c r="R202" s="39"/>
      <c r="S202" s="39"/>
      <c r="T202" s="39"/>
      <c r="U202" s="39"/>
      <c r="V202" s="39"/>
      <c r="W202" s="39"/>
      <c r="X202" s="39"/>
      <c r="Y202" s="39"/>
      <c r="Z202" s="39"/>
    </row>
    <row r="203" spans="1:26" ht="15.75" customHeight="1">
      <c r="A203" s="39"/>
      <c r="B203" s="695">
        <v>1</v>
      </c>
      <c r="C203" s="61" t="s">
        <v>785</v>
      </c>
      <c r="D203" s="96"/>
      <c r="E203" s="96"/>
      <c r="F203" s="97"/>
      <c r="G203" s="96"/>
      <c r="H203" s="96"/>
      <c r="I203" s="98"/>
      <c r="J203" s="39"/>
      <c r="K203" s="39"/>
      <c r="L203" s="39"/>
      <c r="M203" s="39"/>
      <c r="N203" s="39"/>
      <c r="O203" s="39"/>
      <c r="P203" s="39"/>
      <c r="Q203" s="39"/>
      <c r="R203" s="39"/>
      <c r="S203" s="39"/>
      <c r="T203" s="39"/>
      <c r="U203" s="39"/>
      <c r="V203" s="39"/>
      <c r="W203" s="39"/>
      <c r="X203" s="39"/>
      <c r="Y203" s="39"/>
      <c r="Z203" s="39"/>
    </row>
    <row r="204" spans="1:26" ht="15.75" customHeight="1">
      <c r="A204" s="39"/>
      <c r="B204" s="695">
        <v>5</v>
      </c>
      <c r="C204" s="61" t="s">
        <v>753</v>
      </c>
      <c r="D204" s="96"/>
      <c r="E204" s="96"/>
      <c r="F204" s="97"/>
      <c r="G204" s="96"/>
      <c r="H204" s="96"/>
      <c r="I204" s="98"/>
      <c r="J204" s="67"/>
      <c r="K204" s="39"/>
      <c r="L204" s="39"/>
      <c r="M204" s="39"/>
      <c r="N204" s="39"/>
      <c r="O204" s="39"/>
      <c r="P204" s="39"/>
      <c r="Q204" s="39"/>
      <c r="R204" s="39"/>
      <c r="S204" s="39"/>
      <c r="T204" s="39"/>
      <c r="U204" s="39"/>
      <c r="V204" s="39"/>
      <c r="W204" s="39"/>
      <c r="X204" s="39"/>
      <c r="Y204" s="39"/>
      <c r="Z204" s="39"/>
    </row>
    <row r="205" spans="1:26" ht="15.75" customHeight="1">
      <c r="A205" s="39"/>
      <c r="B205" s="100" t="s">
        <v>755</v>
      </c>
      <c r="C205" s="100" t="s">
        <v>756</v>
      </c>
      <c r="D205" s="100" t="s">
        <v>697</v>
      </c>
      <c r="E205" s="101" t="s">
        <v>757</v>
      </c>
      <c r="F205" s="101"/>
      <c r="G205" s="100" t="s">
        <v>786</v>
      </c>
      <c r="H205" s="100" t="s">
        <v>787</v>
      </c>
      <c r="I205" s="102" t="s">
        <v>761</v>
      </c>
      <c r="J205" s="67"/>
      <c r="K205" s="39"/>
      <c r="L205" s="39"/>
      <c r="M205" s="39"/>
      <c r="N205" s="39"/>
      <c r="O205" s="39"/>
      <c r="P205" s="39"/>
      <c r="Q205" s="39"/>
      <c r="R205" s="39"/>
      <c r="S205" s="39"/>
      <c r="T205" s="39"/>
      <c r="U205" s="39"/>
      <c r="V205" s="39"/>
      <c r="W205" s="39"/>
      <c r="X205" s="39"/>
      <c r="Y205" s="39"/>
      <c r="Z205" s="39"/>
    </row>
    <row r="206" spans="1:26" ht="15.75" customHeight="1">
      <c r="A206" s="39"/>
      <c r="B206" s="103">
        <v>1</v>
      </c>
      <c r="C206" s="104" t="s">
        <v>728</v>
      </c>
      <c r="D206" s="104" t="s">
        <v>788</v>
      </c>
      <c r="E206" s="105">
        <f>$E$19</f>
        <v>12000</v>
      </c>
      <c r="F206" s="106"/>
      <c r="G206" s="103">
        <f>B203</f>
        <v>1</v>
      </c>
      <c r="H206" s="103" t="s">
        <v>789</v>
      </c>
      <c r="I206" s="82">
        <f>E206*G206</f>
        <v>12000</v>
      </c>
      <c r="J206" s="67"/>
      <c r="K206" s="39"/>
      <c r="L206" s="39"/>
      <c r="M206" s="39"/>
      <c r="N206" s="39"/>
      <c r="O206" s="39"/>
      <c r="P206" s="39"/>
      <c r="Q206" s="39"/>
      <c r="R206" s="39"/>
      <c r="S206" s="39"/>
      <c r="T206" s="39"/>
      <c r="U206" s="39"/>
      <c r="V206" s="39"/>
      <c r="W206" s="39"/>
      <c r="X206" s="39"/>
      <c r="Y206" s="39"/>
      <c r="Z206" s="39"/>
    </row>
    <row r="207" spans="1:26" ht="15.75" customHeight="1">
      <c r="A207" s="39"/>
      <c r="B207" s="103">
        <v>2</v>
      </c>
      <c r="C207" s="104" t="s">
        <v>732</v>
      </c>
      <c r="D207" s="104" t="s">
        <v>788</v>
      </c>
      <c r="E207" s="105">
        <f>$E$22</f>
        <v>1795</v>
      </c>
      <c r="F207" s="106"/>
      <c r="G207" s="103">
        <f>B203</f>
        <v>1</v>
      </c>
      <c r="H207" s="103">
        <f>B204+2</f>
        <v>7</v>
      </c>
      <c r="I207" s="82">
        <f t="shared" ref="I207:I208" si="22">E207*G207*H207</f>
        <v>12565</v>
      </c>
      <c r="J207" s="67"/>
      <c r="K207" s="39"/>
      <c r="L207" s="39"/>
      <c r="M207" s="39"/>
      <c r="N207" s="39"/>
      <c r="O207" s="39"/>
      <c r="P207" s="39"/>
      <c r="Q207" s="39"/>
      <c r="R207" s="39"/>
      <c r="S207" s="39"/>
      <c r="T207" s="39"/>
      <c r="U207" s="39"/>
      <c r="V207" s="39"/>
      <c r="W207" s="39"/>
      <c r="X207" s="39"/>
      <c r="Y207" s="39"/>
      <c r="Z207" s="39"/>
    </row>
    <row r="208" spans="1:26" ht="15.75" customHeight="1">
      <c r="A208" s="39"/>
      <c r="B208" s="103">
        <v>3</v>
      </c>
      <c r="C208" s="104" t="s">
        <v>767</v>
      </c>
      <c r="D208" s="104" t="s">
        <v>788</v>
      </c>
      <c r="E208" s="105">
        <f>$E$21</f>
        <v>2300</v>
      </c>
      <c r="F208" s="106"/>
      <c r="G208" s="103">
        <f>B203</f>
        <v>1</v>
      </c>
      <c r="H208" s="103">
        <f>B204</f>
        <v>5</v>
      </c>
      <c r="I208" s="82">
        <f t="shared" si="22"/>
        <v>11500</v>
      </c>
      <c r="J208" s="67"/>
      <c r="K208" s="39"/>
      <c r="L208" s="39"/>
      <c r="M208" s="39"/>
      <c r="N208" s="39"/>
      <c r="O208" s="39"/>
      <c r="P208" s="39"/>
      <c r="Q208" s="39"/>
      <c r="R208" s="39"/>
      <c r="S208" s="39"/>
      <c r="T208" s="39"/>
      <c r="U208" s="39"/>
      <c r="V208" s="39"/>
      <c r="W208" s="39"/>
      <c r="X208" s="39"/>
      <c r="Y208" s="39"/>
      <c r="Z208" s="39"/>
    </row>
    <row r="209" spans="1:26" ht="15.75" customHeight="1">
      <c r="A209" s="39"/>
      <c r="B209" s="103">
        <v>4</v>
      </c>
      <c r="C209" s="104" t="s">
        <v>799</v>
      </c>
      <c r="D209" s="104" t="s">
        <v>788</v>
      </c>
      <c r="E209" s="105">
        <f>E23</f>
        <v>13000</v>
      </c>
      <c r="F209" s="106"/>
      <c r="G209" s="103">
        <f>B203</f>
        <v>1</v>
      </c>
      <c r="H209" s="103" t="s">
        <v>789</v>
      </c>
      <c r="I209" s="82">
        <f t="shared" ref="I209:I210" si="23">E209*G209</f>
        <v>13000</v>
      </c>
      <c r="J209" s="67"/>
      <c r="K209" s="39"/>
      <c r="L209" s="39"/>
      <c r="M209" s="39"/>
      <c r="N209" s="39"/>
      <c r="O209" s="39"/>
      <c r="P209" s="39"/>
      <c r="Q209" s="39"/>
      <c r="R209" s="39"/>
      <c r="S209" s="39"/>
      <c r="T209" s="39"/>
      <c r="U209" s="39"/>
      <c r="V209" s="39"/>
      <c r="W209" s="39"/>
      <c r="X209" s="39"/>
      <c r="Y209" s="39"/>
      <c r="Z209" s="39"/>
    </row>
    <row r="210" spans="1:26" ht="15.75" customHeight="1">
      <c r="A210" s="39"/>
      <c r="B210" s="103">
        <v>5</v>
      </c>
      <c r="C210" s="104" t="s">
        <v>800</v>
      </c>
      <c r="D210" s="104" t="s">
        <v>788</v>
      </c>
      <c r="E210" s="105">
        <f>$E$20</f>
        <v>2500</v>
      </c>
      <c r="F210" s="106"/>
      <c r="G210" s="103">
        <f>B203</f>
        <v>1</v>
      </c>
      <c r="H210" s="103" t="s">
        <v>789</v>
      </c>
      <c r="I210" s="82">
        <f t="shared" si="23"/>
        <v>2500</v>
      </c>
      <c r="J210" s="67"/>
      <c r="K210" s="39"/>
      <c r="L210" s="39"/>
      <c r="M210" s="39"/>
      <c r="N210" s="39"/>
      <c r="O210" s="39"/>
      <c r="P210" s="39"/>
      <c r="Q210" s="39"/>
      <c r="R210" s="39"/>
      <c r="S210" s="39"/>
      <c r="T210" s="39"/>
      <c r="U210" s="39"/>
      <c r="V210" s="39"/>
      <c r="W210" s="39"/>
      <c r="X210" s="39"/>
      <c r="Y210" s="39"/>
      <c r="Z210" s="39"/>
    </row>
    <row r="211" spans="1:26" ht="15.75" customHeight="1">
      <c r="A211" s="39"/>
      <c r="B211" s="83"/>
      <c r="C211" s="83" t="s">
        <v>790</v>
      </c>
      <c r="D211" s="83"/>
      <c r="E211" s="83"/>
      <c r="F211" s="83"/>
      <c r="G211" s="83"/>
      <c r="H211" s="83"/>
      <c r="I211" s="86">
        <f>SUM(I206:I210)</f>
        <v>51565</v>
      </c>
      <c r="J211" s="67"/>
      <c r="K211" s="39"/>
      <c r="L211" s="39"/>
      <c r="M211" s="39"/>
      <c r="N211" s="39"/>
      <c r="O211" s="39"/>
      <c r="P211" s="39"/>
      <c r="Q211" s="39"/>
      <c r="R211" s="39"/>
      <c r="S211" s="39"/>
      <c r="T211" s="39"/>
      <c r="U211" s="39"/>
      <c r="V211" s="39"/>
      <c r="W211" s="39"/>
      <c r="X211" s="39"/>
      <c r="Y211" s="39"/>
      <c r="Z211" s="39"/>
    </row>
    <row r="212" spans="1:26" ht="15.75" customHeight="1">
      <c r="A212" s="39"/>
      <c r="B212" s="93"/>
      <c r="C212" s="96"/>
      <c r="D212" s="93"/>
      <c r="E212" s="93"/>
      <c r="F212" s="93"/>
      <c r="G212" s="93"/>
      <c r="H212" s="87" t="s">
        <v>791</v>
      </c>
      <c r="I212" s="88">
        <f>I211/B203/B204</f>
        <v>10313</v>
      </c>
      <c r="J212" s="67"/>
      <c r="K212" s="39"/>
      <c r="L212" s="39"/>
      <c r="M212" s="39"/>
      <c r="N212" s="39"/>
      <c r="O212" s="39"/>
      <c r="P212" s="39"/>
      <c r="Q212" s="39"/>
      <c r="R212" s="39"/>
      <c r="S212" s="39"/>
      <c r="T212" s="39"/>
      <c r="U212" s="39"/>
      <c r="V212" s="39"/>
      <c r="W212" s="39"/>
      <c r="X212" s="39"/>
      <c r="Y212" s="39"/>
      <c r="Z212" s="39"/>
    </row>
    <row r="213" spans="1:26" ht="15.75" customHeight="1">
      <c r="A213" s="39"/>
      <c r="B213" s="39"/>
      <c r="C213" s="39"/>
      <c r="D213" s="39"/>
      <c r="E213" s="39"/>
      <c r="F213" s="39"/>
      <c r="G213" s="39"/>
      <c r="H213" s="90" t="s">
        <v>792</v>
      </c>
      <c r="I213" s="698">
        <f>B203*B204</f>
        <v>5</v>
      </c>
      <c r="J213" s="67"/>
      <c r="K213" s="39"/>
      <c r="L213" s="39"/>
      <c r="M213" s="39"/>
      <c r="N213" s="39"/>
      <c r="O213" s="39"/>
      <c r="P213" s="39"/>
      <c r="Q213" s="39"/>
      <c r="R213" s="39"/>
      <c r="S213" s="39"/>
      <c r="T213" s="39"/>
      <c r="U213" s="39"/>
      <c r="V213" s="39"/>
      <c r="W213" s="39"/>
      <c r="X213" s="39"/>
      <c r="Y213" s="39"/>
      <c r="Z213" s="39"/>
    </row>
    <row r="214" spans="1:26" ht="15.75" customHeight="1">
      <c r="A214" s="39"/>
      <c r="B214" s="39"/>
      <c r="C214" s="39"/>
      <c r="D214" s="39"/>
      <c r="E214" s="39"/>
      <c r="F214" s="39"/>
      <c r="G214" s="39"/>
      <c r="H214" s="39"/>
      <c r="I214" s="39"/>
      <c r="J214" s="67"/>
      <c r="K214" s="39"/>
      <c r="L214" s="39"/>
      <c r="M214" s="39"/>
      <c r="N214" s="39"/>
      <c r="O214" s="39"/>
      <c r="P214" s="39"/>
      <c r="Q214" s="39"/>
      <c r="R214" s="39"/>
      <c r="S214" s="39"/>
      <c r="T214" s="39"/>
      <c r="U214" s="39"/>
      <c r="V214" s="39"/>
      <c r="W214" s="39"/>
      <c r="X214" s="39"/>
      <c r="Y214" s="39"/>
      <c r="Z214" s="39"/>
    </row>
    <row r="215" spans="1:26" ht="15.75" customHeight="1">
      <c r="A215" s="39"/>
      <c r="B215" s="39"/>
      <c r="C215" s="39"/>
      <c r="D215" s="39"/>
      <c r="E215" s="39"/>
      <c r="F215" s="39"/>
      <c r="G215" s="39"/>
      <c r="H215" s="39"/>
      <c r="I215" s="39"/>
      <c r="J215" s="67"/>
      <c r="K215" s="39"/>
      <c r="L215" s="39"/>
      <c r="M215" s="39"/>
      <c r="N215" s="39"/>
      <c r="O215" s="39"/>
      <c r="P215" s="39"/>
      <c r="Q215" s="39"/>
      <c r="R215" s="39"/>
      <c r="S215" s="39"/>
      <c r="T215" s="39"/>
      <c r="U215" s="39"/>
      <c r="V215" s="39"/>
      <c r="W215" s="39"/>
      <c r="X215" s="39"/>
      <c r="Y215" s="39"/>
      <c r="Z215" s="39"/>
    </row>
    <row r="216" spans="1:26" ht="15.75" customHeight="1">
      <c r="A216" s="683" t="s">
        <v>801</v>
      </c>
      <c r="B216" s="694" t="s">
        <v>802</v>
      </c>
      <c r="C216" s="694"/>
      <c r="D216" s="694"/>
      <c r="E216" s="694"/>
      <c r="F216" s="694"/>
      <c r="G216" s="694"/>
      <c r="H216" s="694"/>
      <c r="I216" s="699"/>
      <c r="J216" s="699"/>
      <c r="K216" s="39"/>
      <c r="L216" s="39"/>
      <c r="M216" s="39"/>
      <c r="N216" s="39"/>
      <c r="O216" s="39"/>
      <c r="P216" s="39"/>
      <c r="Q216" s="39"/>
      <c r="R216" s="39"/>
      <c r="S216" s="39"/>
      <c r="T216" s="39"/>
      <c r="U216" s="39"/>
      <c r="V216" s="39"/>
      <c r="W216" s="39"/>
      <c r="X216" s="39"/>
      <c r="Y216" s="39"/>
      <c r="Z216" s="39"/>
    </row>
    <row r="217" spans="1:26" ht="15.75" customHeight="1">
      <c r="A217" s="39"/>
      <c r="B217" s="695">
        <v>2</v>
      </c>
      <c r="C217" s="61" t="s">
        <v>785</v>
      </c>
      <c r="D217" s="96"/>
      <c r="E217" s="96"/>
      <c r="F217" s="97"/>
      <c r="G217" s="96"/>
      <c r="H217" s="96"/>
      <c r="I217" s="98"/>
      <c r="J217" s="39"/>
      <c r="K217" s="39"/>
      <c r="L217" s="39"/>
      <c r="M217" s="39"/>
      <c r="N217" s="39"/>
      <c r="O217" s="39"/>
      <c r="P217" s="39"/>
      <c r="Q217" s="39"/>
      <c r="R217" s="39"/>
      <c r="S217" s="39"/>
      <c r="T217" s="39"/>
      <c r="U217" s="39"/>
      <c r="V217" s="39"/>
      <c r="W217" s="39"/>
      <c r="X217" s="39"/>
      <c r="Y217" s="39"/>
      <c r="Z217" s="39"/>
    </row>
    <row r="218" spans="1:26" ht="15.75" customHeight="1">
      <c r="A218" s="39"/>
      <c r="B218" s="695">
        <v>4</v>
      </c>
      <c r="C218" s="61" t="s">
        <v>753</v>
      </c>
      <c r="D218" s="96"/>
      <c r="E218" s="96"/>
      <c r="F218" s="97"/>
      <c r="G218" s="96"/>
      <c r="H218" s="96"/>
      <c r="I218" s="98"/>
      <c r="J218" s="67"/>
      <c r="K218" s="39"/>
      <c r="L218" s="39"/>
      <c r="M218" s="39"/>
      <c r="N218" s="39"/>
      <c r="O218" s="39"/>
      <c r="P218" s="39"/>
      <c r="Q218" s="39"/>
      <c r="R218" s="39"/>
      <c r="S218" s="39"/>
      <c r="T218" s="39"/>
      <c r="U218" s="39"/>
      <c r="V218" s="39"/>
      <c r="W218" s="39"/>
      <c r="X218" s="39"/>
      <c r="Y218" s="39"/>
      <c r="Z218" s="39"/>
    </row>
    <row r="219" spans="1:26" ht="15.75" customHeight="1">
      <c r="A219" s="39"/>
      <c r="B219" s="100" t="s">
        <v>755</v>
      </c>
      <c r="C219" s="100" t="s">
        <v>756</v>
      </c>
      <c r="D219" s="100" t="s">
        <v>697</v>
      </c>
      <c r="E219" s="101" t="s">
        <v>757</v>
      </c>
      <c r="F219" s="101"/>
      <c r="G219" s="100" t="s">
        <v>786</v>
      </c>
      <c r="H219" s="100" t="s">
        <v>787</v>
      </c>
      <c r="I219" s="102" t="s">
        <v>761</v>
      </c>
      <c r="J219" s="67"/>
      <c r="K219" s="39"/>
      <c r="L219" s="39"/>
      <c r="M219" s="39"/>
      <c r="N219" s="39"/>
      <c r="O219" s="39"/>
      <c r="P219" s="39"/>
      <c r="Q219" s="39"/>
      <c r="R219" s="39"/>
      <c r="S219" s="39"/>
      <c r="T219" s="39"/>
      <c r="U219" s="39"/>
      <c r="V219" s="39"/>
      <c r="W219" s="39"/>
      <c r="X219" s="39"/>
      <c r="Y219" s="39"/>
      <c r="Z219" s="39"/>
    </row>
    <row r="220" spans="1:26" ht="15.75" customHeight="1">
      <c r="A220" s="39"/>
      <c r="B220" s="103">
        <v>1</v>
      </c>
      <c r="C220" s="104" t="s">
        <v>728</v>
      </c>
      <c r="D220" s="104" t="s">
        <v>788</v>
      </c>
      <c r="E220" s="105">
        <f>$E$19</f>
        <v>12000</v>
      </c>
      <c r="F220" s="106"/>
      <c r="G220" s="103">
        <f>B217</f>
        <v>2</v>
      </c>
      <c r="H220" s="103" t="s">
        <v>789</v>
      </c>
      <c r="I220" s="82">
        <f>E220*G220</f>
        <v>24000</v>
      </c>
      <c r="J220" s="67"/>
      <c r="K220" s="39"/>
      <c r="L220" s="39"/>
      <c r="M220" s="39"/>
      <c r="N220" s="39"/>
      <c r="O220" s="39"/>
      <c r="P220" s="39"/>
      <c r="Q220" s="39"/>
      <c r="R220" s="39"/>
      <c r="S220" s="39"/>
      <c r="T220" s="39"/>
      <c r="U220" s="39"/>
      <c r="V220" s="39"/>
      <c r="W220" s="39"/>
      <c r="X220" s="39"/>
      <c r="Y220" s="39"/>
      <c r="Z220" s="39"/>
    </row>
    <row r="221" spans="1:26" ht="15.75" customHeight="1">
      <c r="A221" s="39"/>
      <c r="B221" s="103">
        <v>2</v>
      </c>
      <c r="C221" s="104" t="s">
        <v>732</v>
      </c>
      <c r="D221" s="104" t="s">
        <v>788</v>
      </c>
      <c r="E221" s="105">
        <f>$E$22</f>
        <v>1795</v>
      </c>
      <c r="F221" s="106"/>
      <c r="G221" s="103">
        <f>B217</f>
        <v>2</v>
      </c>
      <c r="H221" s="103">
        <f>B218+2</f>
        <v>6</v>
      </c>
      <c r="I221" s="82">
        <f t="shared" ref="I221:I222" si="24">E221*G221*H221</f>
        <v>21540</v>
      </c>
      <c r="J221" s="67"/>
      <c r="K221" s="39"/>
      <c r="L221" s="39"/>
      <c r="M221" s="39"/>
      <c r="N221" s="39"/>
      <c r="O221" s="39"/>
      <c r="P221" s="39"/>
      <c r="Q221" s="39"/>
      <c r="R221" s="39"/>
      <c r="S221" s="39"/>
      <c r="T221" s="39"/>
      <c r="U221" s="39"/>
      <c r="V221" s="39"/>
      <c r="W221" s="39"/>
      <c r="X221" s="39"/>
      <c r="Y221" s="39"/>
      <c r="Z221" s="39"/>
    </row>
    <row r="222" spans="1:26" ht="15.75" customHeight="1">
      <c r="A222" s="39"/>
      <c r="B222" s="103">
        <v>3</v>
      </c>
      <c r="C222" s="104" t="s">
        <v>767</v>
      </c>
      <c r="D222" s="104" t="s">
        <v>788</v>
      </c>
      <c r="E222" s="105">
        <f>$E$21</f>
        <v>2300</v>
      </c>
      <c r="F222" s="106"/>
      <c r="G222" s="103">
        <f>B217</f>
        <v>2</v>
      </c>
      <c r="H222" s="103">
        <f>B218</f>
        <v>4</v>
      </c>
      <c r="I222" s="82">
        <f t="shared" si="24"/>
        <v>18400</v>
      </c>
      <c r="J222" s="67"/>
      <c r="K222" s="39"/>
      <c r="L222" s="39"/>
      <c r="M222" s="39"/>
      <c r="N222" s="39"/>
      <c r="O222" s="39"/>
      <c r="P222" s="39"/>
      <c r="Q222" s="39"/>
      <c r="R222" s="39"/>
      <c r="S222" s="39"/>
      <c r="T222" s="39"/>
      <c r="U222" s="39"/>
      <c r="V222" s="39"/>
      <c r="W222" s="39"/>
      <c r="X222" s="39"/>
      <c r="Y222" s="39"/>
      <c r="Z222" s="39"/>
    </row>
    <row r="223" spans="1:26" ht="15.75" customHeight="1">
      <c r="A223" s="39"/>
      <c r="B223" s="103">
        <v>4</v>
      </c>
      <c r="C223" s="104" t="s">
        <v>800</v>
      </c>
      <c r="D223" s="104" t="s">
        <v>788</v>
      </c>
      <c r="E223" s="105">
        <f>$E$20</f>
        <v>2500</v>
      </c>
      <c r="F223" s="106"/>
      <c r="G223" s="103">
        <f>B217</f>
        <v>2</v>
      </c>
      <c r="H223" s="103" t="s">
        <v>789</v>
      </c>
      <c r="I223" s="82">
        <f>E223*G223</f>
        <v>5000</v>
      </c>
      <c r="J223" s="67"/>
      <c r="K223" s="39"/>
      <c r="L223" s="39"/>
      <c r="M223" s="39"/>
      <c r="N223" s="39"/>
      <c r="O223" s="39"/>
      <c r="P223" s="39"/>
      <c r="Q223" s="39"/>
      <c r="R223" s="39"/>
      <c r="S223" s="39"/>
      <c r="T223" s="39"/>
      <c r="U223" s="39"/>
      <c r="V223" s="39"/>
      <c r="W223" s="39"/>
      <c r="X223" s="39"/>
      <c r="Y223" s="39"/>
      <c r="Z223" s="39"/>
    </row>
    <row r="224" spans="1:26" ht="15.75" customHeight="1">
      <c r="A224" s="39"/>
      <c r="B224" s="83"/>
      <c r="C224" s="83" t="s">
        <v>790</v>
      </c>
      <c r="D224" s="83"/>
      <c r="E224" s="83"/>
      <c r="F224" s="83"/>
      <c r="G224" s="83"/>
      <c r="H224" s="83"/>
      <c r="I224" s="86">
        <f>SUM(I220:I223)</f>
        <v>68940</v>
      </c>
      <c r="J224" s="67"/>
      <c r="K224" s="39"/>
      <c r="L224" s="39"/>
      <c r="M224" s="39"/>
      <c r="N224" s="39"/>
      <c r="O224" s="39"/>
      <c r="P224" s="39"/>
      <c r="Q224" s="39"/>
      <c r="R224" s="39"/>
      <c r="S224" s="39"/>
      <c r="T224" s="39"/>
      <c r="U224" s="39"/>
      <c r="V224" s="39"/>
      <c r="W224" s="39"/>
      <c r="X224" s="39"/>
      <c r="Y224" s="39"/>
      <c r="Z224" s="39"/>
    </row>
    <row r="225" spans="1:26" ht="15.75" customHeight="1">
      <c r="A225" s="39"/>
      <c r="B225" s="93"/>
      <c r="C225" s="96"/>
      <c r="D225" s="93"/>
      <c r="E225" s="93"/>
      <c r="F225" s="93"/>
      <c r="G225" s="93"/>
      <c r="H225" s="87" t="s">
        <v>791</v>
      </c>
      <c r="I225" s="88">
        <f>I224/B217/B218</f>
        <v>8617.5</v>
      </c>
      <c r="J225" s="67"/>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90" t="s">
        <v>792</v>
      </c>
      <c r="I226" s="698">
        <f>B217*B218</f>
        <v>8</v>
      </c>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67"/>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67"/>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683" t="s">
        <v>801</v>
      </c>
      <c r="B231" s="694" t="s">
        <v>544</v>
      </c>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67"/>
      <c r="B232" s="100" t="s">
        <v>803</v>
      </c>
      <c r="C232" s="100" t="s">
        <v>804</v>
      </c>
      <c r="D232" s="100" t="s">
        <v>805</v>
      </c>
      <c r="E232" s="100" t="s">
        <v>806</v>
      </c>
      <c r="F232" s="100" t="s">
        <v>807</v>
      </c>
      <c r="G232" s="67"/>
      <c r="H232" s="67"/>
      <c r="I232" s="67"/>
      <c r="J232" s="67"/>
      <c r="K232" s="67"/>
      <c r="L232" s="67"/>
      <c r="M232" s="67"/>
      <c r="N232" s="67"/>
      <c r="O232" s="67"/>
      <c r="P232" s="67"/>
      <c r="Q232" s="67"/>
      <c r="R232" s="67"/>
      <c r="S232" s="67"/>
      <c r="T232" s="67"/>
      <c r="U232" s="67"/>
      <c r="V232" s="67"/>
      <c r="W232" s="67"/>
      <c r="X232" s="67"/>
      <c r="Y232" s="67"/>
      <c r="Z232" s="67"/>
    </row>
    <row r="233" spans="1:26" ht="15.75" customHeight="1">
      <c r="A233" s="67"/>
      <c r="B233" s="104" t="s">
        <v>808</v>
      </c>
      <c r="C233" s="104" t="s">
        <v>809</v>
      </c>
      <c r="D233" s="105">
        <v>48</v>
      </c>
      <c r="E233" s="105">
        <v>48</v>
      </c>
      <c r="F233" s="105">
        <v>48</v>
      </c>
      <c r="G233" s="67"/>
      <c r="H233" s="67"/>
      <c r="I233" s="67"/>
      <c r="J233" s="67"/>
      <c r="K233" s="67"/>
      <c r="L233" s="67"/>
      <c r="M233" s="67"/>
      <c r="N233" s="67"/>
      <c r="O233" s="67"/>
      <c r="P233" s="67"/>
      <c r="Q233" s="67"/>
      <c r="R233" s="67"/>
      <c r="S233" s="67"/>
      <c r="T233" s="67"/>
      <c r="U233" s="67"/>
      <c r="V233" s="67"/>
      <c r="W233" s="67"/>
      <c r="X233" s="67"/>
      <c r="Y233" s="67"/>
      <c r="Z233" s="67"/>
    </row>
    <row r="234" spans="1:26" ht="15.75" customHeight="1">
      <c r="A234" s="67"/>
      <c r="B234" s="104" t="s">
        <v>545</v>
      </c>
      <c r="C234" s="104" t="s">
        <v>809</v>
      </c>
      <c r="D234" s="105">
        <v>48</v>
      </c>
      <c r="E234" s="105">
        <v>48</v>
      </c>
      <c r="F234" s="105">
        <v>48</v>
      </c>
      <c r="G234" s="67"/>
      <c r="H234" s="67"/>
      <c r="I234" s="67"/>
      <c r="J234" s="67"/>
      <c r="K234" s="67"/>
      <c r="L234" s="67"/>
      <c r="M234" s="67"/>
      <c r="N234" s="67"/>
      <c r="O234" s="67"/>
      <c r="P234" s="67"/>
      <c r="Q234" s="67"/>
      <c r="R234" s="67"/>
      <c r="S234" s="67"/>
      <c r="T234" s="67"/>
      <c r="U234" s="67"/>
      <c r="V234" s="67"/>
      <c r="W234" s="67"/>
      <c r="X234" s="67"/>
      <c r="Y234" s="67"/>
      <c r="Z234" s="67"/>
    </row>
    <row r="235" spans="1:26" ht="15.75" customHeight="1">
      <c r="A235" s="67"/>
      <c r="B235" s="104" t="s">
        <v>810</v>
      </c>
      <c r="C235" s="104" t="s">
        <v>809</v>
      </c>
      <c r="D235" s="105">
        <v>48</v>
      </c>
      <c r="E235" s="105">
        <v>48</v>
      </c>
      <c r="F235" s="105">
        <v>48</v>
      </c>
      <c r="G235" s="67"/>
      <c r="H235" s="67"/>
      <c r="I235" s="67"/>
      <c r="J235" s="67"/>
      <c r="K235" s="67"/>
      <c r="L235" s="67"/>
      <c r="M235" s="67"/>
      <c r="N235" s="67"/>
      <c r="O235" s="67"/>
      <c r="P235" s="67"/>
      <c r="Q235" s="67"/>
      <c r="R235" s="67"/>
      <c r="S235" s="67"/>
      <c r="T235" s="67"/>
      <c r="U235" s="67"/>
      <c r="V235" s="67"/>
      <c r="W235" s="67"/>
      <c r="X235" s="67"/>
      <c r="Y235" s="67"/>
      <c r="Z235" s="67"/>
    </row>
    <row r="236" spans="1:26" ht="15.75" customHeight="1">
      <c r="A236" s="108"/>
      <c r="B236" s="109" t="s">
        <v>811</v>
      </c>
      <c r="C236" s="109"/>
      <c r="D236" s="110">
        <f t="shared" ref="D236:F236" si="25">SUM(D233:D235)</f>
        <v>144</v>
      </c>
      <c r="E236" s="110">
        <f t="shared" si="25"/>
        <v>144</v>
      </c>
      <c r="F236" s="110">
        <f t="shared" si="25"/>
        <v>144</v>
      </c>
      <c r="G236" s="108"/>
      <c r="H236" s="108"/>
      <c r="I236" s="108"/>
      <c r="J236" s="108"/>
      <c r="K236" s="108"/>
      <c r="L236" s="108"/>
      <c r="M236" s="108"/>
      <c r="N236" s="108"/>
      <c r="O236" s="108"/>
      <c r="P236" s="108"/>
      <c r="Q236" s="108"/>
      <c r="R236" s="108"/>
      <c r="S236" s="108"/>
      <c r="T236" s="108"/>
      <c r="U236" s="108"/>
      <c r="V236" s="108"/>
      <c r="W236" s="108"/>
      <c r="X236" s="108"/>
      <c r="Y236" s="108"/>
      <c r="Z236" s="108"/>
    </row>
    <row r="237" spans="1:26" ht="15.75" customHeight="1">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5.75" customHeight="1">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5.75" customHeight="1">
      <c r="A239" s="683" t="s">
        <v>812</v>
      </c>
      <c r="B239" s="694" t="s">
        <v>544</v>
      </c>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67"/>
      <c r="B240" s="100" t="s">
        <v>803</v>
      </c>
      <c r="C240" s="100" t="s">
        <v>804</v>
      </c>
      <c r="D240" s="100" t="s">
        <v>805</v>
      </c>
      <c r="E240" s="100" t="s">
        <v>806</v>
      </c>
      <c r="F240" s="100" t="s">
        <v>807</v>
      </c>
      <c r="G240" s="67"/>
      <c r="H240" s="67"/>
      <c r="I240" s="67"/>
      <c r="J240" s="67"/>
      <c r="K240" s="67"/>
      <c r="L240" s="67"/>
      <c r="M240" s="67"/>
      <c r="N240" s="67"/>
      <c r="O240" s="67"/>
      <c r="P240" s="67"/>
      <c r="Q240" s="67"/>
      <c r="R240" s="67"/>
      <c r="S240" s="67"/>
      <c r="T240" s="67"/>
      <c r="U240" s="67"/>
      <c r="V240" s="67"/>
      <c r="W240" s="67"/>
      <c r="X240" s="67"/>
      <c r="Y240" s="67"/>
      <c r="Z240" s="67"/>
    </row>
    <row r="241" spans="1:26" ht="15.75" customHeight="1">
      <c r="A241" s="67"/>
      <c r="B241" s="104" t="s">
        <v>808</v>
      </c>
      <c r="C241" s="104" t="s">
        <v>813</v>
      </c>
      <c r="D241" s="105">
        <v>60</v>
      </c>
      <c r="E241" s="105">
        <v>60</v>
      </c>
      <c r="F241" s="105">
        <v>60</v>
      </c>
      <c r="G241" s="67"/>
      <c r="H241" s="67"/>
      <c r="I241" s="67"/>
      <c r="J241" s="67"/>
      <c r="K241" s="67"/>
      <c r="L241" s="67"/>
      <c r="M241" s="67"/>
      <c r="N241" s="67"/>
      <c r="O241" s="67"/>
      <c r="P241" s="67"/>
      <c r="Q241" s="67"/>
      <c r="R241" s="67"/>
      <c r="S241" s="67"/>
      <c r="T241" s="67"/>
      <c r="U241" s="67"/>
      <c r="V241" s="67"/>
      <c r="W241" s="67"/>
      <c r="X241" s="67"/>
      <c r="Y241" s="67"/>
      <c r="Z241" s="67"/>
    </row>
    <row r="242" spans="1:26" ht="15.75" customHeight="1">
      <c r="A242" s="67"/>
      <c r="B242" s="104" t="s">
        <v>545</v>
      </c>
      <c r="C242" s="104" t="s">
        <v>813</v>
      </c>
      <c r="D242" s="105">
        <v>60</v>
      </c>
      <c r="E242" s="105">
        <v>60</v>
      </c>
      <c r="F242" s="105"/>
      <c r="G242" s="67"/>
      <c r="H242" s="67"/>
      <c r="I242" s="67"/>
      <c r="J242" s="67"/>
      <c r="K242" s="67"/>
      <c r="L242" s="67"/>
      <c r="M242" s="67"/>
      <c r="N242" s="67"/>
      <c r="O242" s="67"/>
      <c r="P242" s="67"/>
      <c r="Q242" s="67"/>
      <c r="R242" s="67"/>
      <c r="S242" s="67"/>
      <c r="T242" s="67"/>
      <c r="U242" s="67"/>
      <c r="V242" s="67"/>
      <c r="W242" s="67"/>
      <c r="X242" s="67"/>
      <c r="Y242" s="67"/>
      <c r="Z242" s="67"/>
    </row>
    <row r="243" spans="1:26" ht="15.75" customHeight="1">
      <c r="A243" s="67"/>
      <c r="B243" s="104" t="s">
        <v>810</v>
      </c>
      <c r="C243" s="104" t="s">
        <v>813</v>
      </c>
      <c r="D243" s="105">
        <v>60</v>
      </c>
      <c r="E243" s="105">
        <v>60</v>
      </c>
      <c r="F243" s="105">
        <v>60</v>
      </c>
      <c r="G243" s="67"/>
      <c r="H243" s="67"/>
      <c r="I243" s="67"/>
      <c r="J243" s="67"/>
      <c r="K243" s="67"/>
      <c r="L243" s="67"/>
      <c r="M243" s="67"/>
      <c r="N243" s="67"/>
      <c r="O243" s="67"/>
      <c r="P243" s="67"/>
      <c r="Q243" s="67"/>
      <c r="R243" s="67"/>
      <c r="S243" s="67"/>
      <c r="T243" s="67"/>
      <c r="U243" s="67"/>
      <c r="V243" s="67"/>
      <c r="W243" s="67"/>
      <c r="X243" s="67"/>
      <c r="Y243" s="67"/>
      <c r="Z243" s="67"/>
    </row>
    <row r="244" spans="1:26" ht="15.75" customHeight="1">
      <c r="A244" s="108"/>
      <c r="B244" s="109" t="s">
        <v>811</v>
      </c>
      <c r="C244" s="109"/>
      <c r="D244" s="110">
        <f t="shared" ref="D244:F244" si="26">SUM(D241:D243)</f>
        <v>180</v>
      </c>
      <c r="E244" s="110">
        <f t="shared" si="26"/>
        <v>180</v>
      </c>
      <c r="F244" s="110">
        <f t="shared" si="26"/>
        <v>120</v>
      </c>
      <c r="G244" s="108"/>
      <c r="H244" s="108"/>
      <c r="I244" s="108"/>
      <c r="J244" s="108"/>
      <c r="K244" s="108"/>
      <c r="L244" s="108"/>
      <c r="M244" s="108"/>
      <c r="N244" s="108"/>
      <c r="O244" s="108"/>
      <c r="P244" s="108"/>
      <c r="Q244" s="108"/>
      <c r="R244" s="108"/>
      <c r="S244" s="108"/>
      <c r="T244" s="108"/>
      <c r="U244" s="108"/>
      <c r="V244" s="108"/>
      <c r="W244" s="108"/>
      <c r="X244" s="108"/>
      <c r="Y244" s="108"/>
      <c r="Z244" s="108"/>
    </row>
    <row r="245" spans="1:26" ht="15.75" customHeight="1">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5.75" customHeight="1">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5.75" customHeight="1">
      <c r="A247" s="683" t="s">
        <v>814</v>
      </c>
      <c r="B247" s="694" t="s">
        <v>544</v>
      </c>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67"/>
      <c r="B248" s="100" t="s">
        <v>803</v>
      </c>
      <c r="C248" s="100" t="s">
        <v>804</v>
      </c>
      <c r="D248" s="100" t="s">
        <v>805</v>
      </c>
      <c r="E248" s="100" t="s">
        <v>806</v>
      </c>
      <c r="F248" s="100" t="s">
        <v>807</v>
      </c>
      <c r="G248" s="67"/>
      <c r="H248" s="67"/>
      <c r="I248" s="67"/>
      <c r="J248" s="67"/>
      <c r="K248" s="67"/>
      <c r="L248" s="67"/>
      <c r="M248" s="67"/>
      <c r="N248" s="67"/>
      <c r="O248" s="67"/>
      <c r="P248" s="67"/>
      <c r="Q248" s="67"/>
      <c r="R248" s="67"/>
      <c r="S248" s="67"/>
      <c r="T248" s="67"/>
      <c r="U248" s="67"/>
      <c r="V248" s="67"/>
      <c r="W248" s="67"/>
      <c r="X248" s="67"/>
      <c r="Y248" s="67"/>
      <c r="Z248" s="67"/>
    </row>
    <row r="249" spans="1:26" ht="15.75" customHeight="1">
      <c r="A249" s="67"/>
      <c r="B249" s="104" t="s">
        <v>815</v>
      </c>
      <c r="C249" s="104" t="s">
        <v>813</v>
      </c>
      <c r="D249" s="105">
        <v>100</v>
      </c>
      <c r="E249" s="105">
        <v>100</v>
      </c>
      <c r="F249" s="105"/>
      <c r="G249" s="67"/>
      <c r="H249" s="67"/>
      <c r="I249" s="67"/>
      <c r="J249" s="67"/>
      <c r="K249" s="67"/>
      <c r="L249" s="67"/>
      <c r="M249" s="67"/>
      <c r="N249" s="67"/>
      <c r="O249" s="67"/>
      <c r="P249" s="67"/>
      <c r="Q249" s="67"/>
      <c r="R249" s="67"/>
      <c r="S249" s="67"/>
      <c r="T249" s="67"/>
      <c r="U249" s="67"/>
      <c r="V249" s="67"/>
      <c r="W249" s="67"/>
      <c r="X249" s="67"/>
      <c r="Y249" s="67"/>
      <c r="Z249" s="67"/>
    </row>
    <row r="250" spans="1:26" ht="15.75" customHeight="1">
      <c r="A250" s="67"/>
      <c r="B250" s="104" t="s">
        <v>816</v>
      </c>
      <c r="C250" s="104" t="s">
        <v>813</v>
      </c>
      <c r="D250" s="105">
        <v>40</v>
      </c>
      <c r="E250" s="105">
        <v>40</v>
      </c>
      <c r="F250" s="105"/>
      <c r="G250" s="67"/>
      <c r="H250" s="67"/>
      <c r="I250" s="67"/>
      <c r="J250" s="67"/>
      <c r="K250" s="67"/>
      <c r="L250" s="67"/>
      <c r="M250" s="67"/>
      <c r="N250" s="67"/>
      <c r="O250" s="67"/>
      <c r="P250" s="67"/>
      <c r="Q250" s="67"/>
      <c r="R250" s="67"/>
      <c r="S250" s="67"/>
      <c r="T250" s="67"/>
      <c r="U250" s="67"/>
      <c r="V250" s="67"/>
      <c r="W250" s="67"/>
      <c r="X250" s="67"/>
      <c r="Y250" s="67"/>
      <c r="Z250" s="67"/>
    </row>
    <row r="251" spans="1:26" ht="15.75" customHeight="1">
      <c r="A251" s="108"/>
      <c r="B251" s="109" t="s">
        <v>811</v>
      </c>
      <c r="C251" s="109"/>
      <c r="D251" s="110">
        <f t="shared" ref="D251:F251" si="27">SUM(D249:D250)</f>
        <v>140</v>
      </c>
      <c r="E251" s="110">
        <f t="shared" si="27"/>
        <v>140</v>
      </c>
      <c r="F251" s="110">
        <f t="shared" si="27"/>
        <v>0</v>
      </c>
      <c r="G251" s="108"/>
      <c r="H251" s="108"/>
      <c r="I251" s="108"/>
      <c r="J251" s="108"/>
      <c r="K251" s="108"/>
      <c r="L251" s="108"/>
      <c r="M251" s="108"/>
      <c r="N251" s="108"/>
      <c r="O251" s="108"/>
      <c r="P251" s="108"/>
      <c r="Q251" s="108"/>
      <c r="R251" s="108"/>
      <c r="S251" s="108"/>
      <c r="T251" s="108"/>
      <c r="U251" s="108"/>
      <c r="V251" s="108"/>
      <c r="W251" s="108"/>
      <c r="X251" s="108"/>
      <c r="Y251" s="108"/>
      <c r="Z251" s="108"/>
    </row>
    <row r="252" spans="1:26" ht="15.75" customHeight="1">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5.75" customHeight="1">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5.75" customHeight="1">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5.75" customHeight="1">
      <c r="A255" s="683" t="s">
        <v>817</v>
      </c>
      <c r="B255" s="684" t="str">
        <f>"Training/round table/seminar ("&amp;B258&amp;"-day event)"</f>
        <v>Training/round table/seminar (1-day event)</v>
      </c>
      <c r="C255" s="683"/>
      <c r="D255" s="683"/>
      <c r="E255" s="683"/>
      <c r="F255" s="683"/>
      <c r="G255" s="683"/>
      <c r="H255" s="683"/>
      <c r="I255" s="683"/>
      <c r="J255" s="683"/>
      <c r="K255" s="67"/>
      <c r="L255" s="67"/>
      <c r="M255" s="67"/>
      <c r="N255" s="67"/>
      <c r="O255" s="67"/>
      <c r="P255" s="67"/>
      <c r="Q255" s="67"/>
      <c r="R255" s="67"/>
      <c r="S255" s="67"/>
      <c r="T255" s="67"/>
      <c r="U255" s="67"/>
      <c r="V255" s="67"/>
      <c r="W255" s="67"/>
      <c r="X255" s="67"/>
      <c r="Y255" s="67"/>
      <c r="Z255" s="67"/>
    </row>
    <row r="256" spans="1:26" ht="15.75" customHeight="1">
      <c r="A256" s="61"/>
      <c r="B256" s="685">
        <v>200</v>
      </c>
      <c r="C256" s="61" t="s">
        <v>751</v>
      </c>
      <c r="D256" s="61"/>
      <c r="E256" s="61"/>
      <c r="F256" s="67"/>
      <c r="G256" s="63"/>
      <c r="H256" s="63"/>
      <c r="I256" s="64"/>
      <c r="J256" s="39"/>
      <c r="K256" s="67"/>
      <c r="L256" s="67"/>
      <c r="M256" s="67"/>
      <c r="N256" s="67"/>
      <c r="O256" s="67"/>
      <c r="P256" s="67"/>
      <c r="Q256" s="67"/>
      <c r="R256" s="67"/>
      <c r="S256" s="67"/>
      <c r="T256" s="67"/>
      <c r="U256" s="67"/>
      <c r="V256" s="67"/>
      <c r="W256" s="67"/>
      <c r="X256" s="67"/>
      <c r="Y256" s="67"/>
      <c r="Z256" s="67"/>
    </row>
    <row r="257" spans="1:26" ht="15.75" customHeight="1">
      <c r="A257" s="68"/>
      <c r="B257" s="685">
        <v>0</v>
      </c>
      <c r="C257" s="61" t="s">
        <v>752</v>
      </c>
      <c r="D257" s="61"/>
      <c r="E257" s="61"/>
      <c r="F257" s="67"/>
      <c r="G257" s="63"/>
      <c r="H257" s="69"/>
      <c r="I257" s="70"/>
      <c r="J257" s="39"/>
      <c r="K257" s="67"/>
      <c r="L257" s="67"/>
      <c r="M257" s="67"/>
      <c r="N257" s="67"/>
      <c r="O257" s="67"/>
      <c r="P257" s="67"/>
      <c r="Q257" s="67"/>
      <c r="R257" s="67"/>
      <c r="S257" s="67"/>
      <c r="T257" s="67"/>
      <c r="U257" s="67"/>
      <c r="V257" s="67"/>
      <c r="W257" s="67"/>
      <c r="X257" s="67"/>
      <c r="Y257" s="67"/>
      <c r="Z257" s="67"/>
    </row>
    <row r="258" spans="1:26" ht="15.75" customHeight="1">
      <c r="A258" s="61"/>
      <c r="B258" s="685">
        <v>1</v>
      </c>
      <c r="C258" s="61" t="s">
        <v>753</v>
      </c>
      <c r="D258" s="61"/>
      <c r="E258" s="61"/>
      <c r="F258" s="71"/>
      <c r="G258" s="63"/>
      <c r="H258" s="63"/>
      <c r="I258" s="64"/>
      <c r="J258" s="39"/>
      <c r="K258" s="67"/>
      <c r="L258" s="67"/>
      <c r="M258" s="67"/>
      <c r="N258" s="67"/>
      <c r="O258" s="67"/>
      <c r="P258" s="67"/>
      <c r="Q258" s="67"/>
      <c r="R258" s="67"/>
      <c r="S258" s="67"/>
      <c r="T258" s="67"/>
      <c r="U258" s="67"/>
      <c r="V258" s="67"/>
      <c r="W258" s="67"/>
      <c r="X258" s="67"/>
      <c r="Y258" s="67"/>
      <c r="Z258" s="67"/>
    </row>
    <row r="259" spans="1:26" ht="15.75" customHeight="1">
      <c r="A259" s="61"/>
      <c r="B259" s="685">
        <v>2</v>
      </c>
      <c r="C259" s="61" t="s">
        <v>774</v>
      </c>
      <c r="D259" s="61"/>
      <c r="E259" s="61"/>
      <c r="F259" s="71"/>
      <c r="G259" s="63"/>
      <c r="H259" s="63"/>
      <c r="I259" s="64"/>
      <c r="J259" s="39"/>
      <c r="K259" s="67"/>
      <c r="L259" s="67"/>
      <c r="M259" s="67"/>
      <c r="N259" s="67"/>
      <c r="O259" s="67"/>
      <c r="P259" s="67"/>
      <c r="Q259" s="67"/>
      <c r="R259" s="67"/>
      <c r="S259" s="67"/>
      <c r="T259" s="67"/>
      <c r="U259" s="67"/>
      <c r="V259" s="67"/>
      <c r="W259" s="67"/>
      <c r="X259" s="67"/>
      <c r="Y259" s="67"/>
      <c r="Z259" s="67"/>
    </row>
    <row r="260" spans="1:26" ht="15.75" customHeight="1">
      <c r="A260" s="61"/>
      <c r="B260" s="72" t="s">
        <v>755</v>
      </c>
      <c r="C260" s="72" t="s">
        <v>756</v>
      </c>
      <c r="D260" s="72" t="s">
        <v>697</v>
      </c>
      <c r="E260" s="73" t="s">
        <v>757</v>
      </c>
      <c r="F260" s="73" t="s">
        <v>758</v>
      </c>
      <c r="G260" s="72" t="s">
        <v>759</v>
      </c>
      <c r="H260" s="72" t="s">
        <v>760</v>
      </c>
      <c r="I260" s="686" t="s">
        <v>761</v>
      </c>
      <c r="J260" s="74" t="s">
        <v>762</v>
      </c>
      <c r="K260" s="67"/>
      <c r="L260" s="67"/>
      <c r="M260" s="67"/>
      <c r="N260" s="67"/>
      <c r="O260" s="67"/>
      <c r="P260" s="67"/>
      <c r="Q260" s="67"/>
      <c r="R260" s="67"/>
      <c r="S260" s="67"/>
      <c r="T260" s="67"/>
      <c r="U260" s="67"/>
      <c r="V260" s="67"/>
      <c r="W260" s="67"/>
      <c r="X260" s="67"/>
      <c r="Y260" s="67"/>
      <c r="Z260" s="67"/>
    </row>
    <row r="261" spans="1:26" ht="15.75" customHeight="1">
      <c r="A261" s="61"/>
      <c r="B261" s="75">
        <v>1</v>
      </c>
      <c r="C261" s="76" t="s">
        <v>763</v>
      </c>
      <c r="D261" s="76" t="s">
        <v>764</v>
      </c>
      <c r="E261" s="82">
        <f>E15</f>
        <v>6500</v>
      </c>
      <c r="F261" s="82"/>
      <c r="G261" s="75">
        <v>1</v>
      </c>
      <c r="H261" s="75">
        <f>B258</f>
        <v>1</v>
      </c>
      <c r="I261" s="91">
        <f t="shared" ref="I261:I265" si="28">E261*G261*H261</f>
        <v>6500</v>
      </c>
      <c r="J261" s="82">
        <f t="shared" ref="J261:J268" si="29">I261/2</f>
        <v>3250</v>
      </c>
      <c r="K261" s="67"/>
      <c r="L261" s="67"/>
      <c r="M261" s="67"/>
      <c r="N261" s="67"/>
      <c r="O261" s="67"/>
      <c r="P261" s="67"/>
      <c r="Q261" s="67"/>
      <c r="R261" s="67"/>
      <c r="S261" s="67"/>
      <c r="T261" s="67"/>
      <c r="U261" s="67"/>
      <c r="V261" s="67"/>
      <c r="W261" s="67"/>
      <c r="X261" s="67"/>
      <c r="Y261" s="67"/>
      <c r="Z261" s="67"/>
    </row>
    <row r="262" spans="1:26" ht="15.75" customHeight="1">
      <c r="A262" s="61"/>
      <c r="B262" s="75">
        <v>2</v>
      </c>
      <c r="C262" s="76" t="s">
        <v>742</v>
      </c>
      <c r="D262" s="76" t="s">
        <v>765</v>
      </c>
      <c r="E262" s="82">
        <f>$E$27</f>
        <v>1235</v>
      </c>
      <c r="F262" s="82"/>
      <c r="G262" s="75">
        <f>B257</f>
        <v>0</v>
      </c>
      <c r="H262" s="75">
        <v>1</v>
      </c>
      <c r="I262" s="91">
        <f t="shared" si="28"/>
        <v>0</v>
      </c>
      <c r="J262" s="82">
        <f t="shared" si="29"/>
        <v>0</v>
      </c>
      <c r="K262" s="67"/>
      <c r="L262" s="67"/>
      <c r="M262" s="67"/>
      <c r="N262" s="67"/>
      <c r="O262" s="67"/>
      <c r="P262" s="67"/>
      <c r="Q262" s="67"/>
      <c r="R262" s="67"/>
      <c r="S262" s="67"/>
      <c r="T262" s="67"/>
      <c r="U262" s="67"/>
      <c r="V262" s="67"/>
      <c r="W262" s="67"/>
      <c r="X262" s="67"/>
      <c r="Y262" s="67"/>
      <c r="Z262" s="67"/>
    </row>
    <row r="263" spans="1:26" ht="15.75" customHeight="1">
      <c r="A263" s="61"/>
      <c r="B263" s="75">
        <v>3</v>
      </c>
      <c r="C263" s="79" t="s">
        <v>766</v>
      </c>
      <c r="D263" s="76" t="s">
        <v>765</v>
      </c>
      <c r="E263" s="92">
        <f>$E$14*0.25</f>
        <v>75</v>
      </c>
      <c r="F263" s="82"/>
      <c r="G263" s="75">
        <f>B256+B259</f>
        <v>202</v>
      </c>
      <c r="H263" s="75">
        <f>B258</f>
        <v>1</v>
      </c>
      <c r="I263" s="91">
        <f t="shared" si="28"/>
        <v>15150</v>
      </c>
      <c r="J263" s="82">
        <f t="shared" si="29"/>
        <v>7575</v>
      </c>
      <c r="K263" s="67"/>
      <c r="L263" s="67"/>
      <c r="M263" s="67"/>
      <c r="N263" s="67"/>
      <c r="O263" s="67"/>
      <c r="P263" s="67"/>
      <c r="Q263" s="67"/>
      <c r="R263" s="67"/>
      <c r="S263" s="67"/>
      <c r="T263" s="67"/>
      <c r="U263" s="67"/>
      <c r="V263" s="67"/>
      <c r="W263" s="67"/>
      <c r="X263" s="67"/>
      <c r="Y263" s="67"/>
      <c r="Z263" s="67"/>
    </row>
    <row r="264" spans="1:26" ht="15.75" customHeight="1">
      <c r="A264" s="61"/>
      <c r="B264" s="75">
        <v>5</v>
      </c>
      <c r="C264" s="76" t="s">
        <v>775</v>
      </c>
      <c r="D264" s="76" t="s">
        <v>765</v>
      </c>
      <c r="E264" s="82">
        <f>$E$16</f>
        <v>1175</v>
      </c>
      <c r="F264" s="82"/>
      <c r="G264" s="75">
        <f>B257</f>
        <v>0</v>
      </c>
      <c r="H264" s="75">
        <f>B258-0.5</f>
        <v>0.5</v>
      </c>
      <c r="I264" s="91">
        <f t="shared" si="28"/>
        <v>0</v>
      </c>
      <c r="J264" s="82">
        <f t="shared" si="29"/>
        <v>0</v>
      </c>
      <c r="K264" s="67"/>
      <c r="L264" s="67"/>
      <c r="M264" s="67"/>
      <c r="N264" s="67"/>
      <c r="O264" s="67"/>
      <c r="P264" s="67"/>
      <c r="Q264" s="67"/>
      <c r="R264" s="67"/>
      <c r="S264" s="67"/>
      <c r="T264" s="67"/>
      <c r="U264" s="67"/>
      <c r="V264" s="67"/>
      <c r="W264" s="67"/>
      <c r="X264" s="67"/>
      <c r="Y264" s="67"/>
      <c r="Z264" s="67"/>
    </row>
    <row r="265" spans="1:26" ht="15.75" customHeight="1">
      <c r="A265" s="61"/>
      <c r="B265" s="75">
        <v>6</v>
      </c>
      <c r="C265" s="76" t="s">
        <v>713</v>
      </c>
      <c r="D265" s="76" t="s">
        <v>765</v>
      </c>
      <c r="E265" s="82">
        <f>$E$17</f>
        <v>100</v>
      </c>
      <c r="F265" s="82"/>
      <c r="G265" s="75">
        <f>B256</f>
        <v>200</v>
      </c>
      <c r="H265" s="75">
        <v>1</v>
      </c>
      <c r="I265" s="91">
        <f t="shared" si="28"/>
        <v>20000</v>
      </c>
      <c r="J265" s="82">
        <f t="shared" si="29"/>
        <v>10000</v>
      </c>
      <c r="K265" s="67"/>
      <c r="L265" s="67"/>
      <c r="M265" s="67"/>
      <c r="N265" s="67"/>
      <c r="O265" s="67"/>
      <c r="P265" s="67"/>
      <c r="Q265" s="67"/>
      <c r="R265" s="67"/>
      <c r="S265" s="67"/>
      <c r="T265" s="67"/>
      <c r="U265" s="67"/>
      <c r="V265" s="67"/>
      <c r="W265" s="67"/>
      <c r="X265" s="67"/>
      <c r="Y265" s="67"/>
      <c r="Z265" s="67"/>
    </row>
    <row r="266" spans="1:26" ht="15.75" customHeight="1">
      <c r="A266" s="61"/>
      <c r="B266" s="75">
        <v>7</v>
      </c>
      <c r="C266" s="76" t="s">
        <v>717</v>
      </c>
      <c r="D266" s="76" t="s">
        <v>768</v>
      </c>
      <c r="E266" s="81">
        <f>E178</f>
        <v>0</v>
      </c>
      <c r="F266" s="81"/>
      <c r="G266" s="75"/>
      <c r="H266" s="75"/>
      <c r="I266" s="91">
        <f>SUM(I261:I265)*$E$18</f>
        <v>4165</v>
      </c>
      <c r="J266" s="82">
        <f t="shared" si="29"/>
        <v>2082.5</v>
      </c>
      <c r="K266" s="67"/>
      <c r="L266" s="67"/>
      <c r="M266" s="67"/>
      <c r="N266" s="67"/>
      <c r="O266" s="67"/>
      <c r="P266" s="67"/>
      <c r="Q266" s="67"/>
      <c r="R266" s="67"/>
      <c r="S266" s="67"/>
      <c r="T266" s="67"/>
      <c r="U266" s="67"/>
      <c r="V266" s="67"/>
      <c r="W266" s="67"/>
      <c r="X266" s="67"/>
      <c r="Y266" s="67"/>
      <c r="Z266" s="67"/>
    </row>
    <row r="267" spans="1:26" ht="15.75" customHeight="1">
      <c r="A267" s="61"/>
      <c r="B267" s="75">
        <v>8</v>
      </c>
      <c r="C267" s="76" t="s">
        <v>769</v>
      </c>
      <c r="D267" s="76" t="s">
        <v>764</v>
      </c>
      <c r="E267" s="82">
        <f>$E$13</f>
        <v>3334</v>
      </c>
      <c r="F267" s="82"/>
      <c r="G267" s="75">
        <f>B259</f>
        <v>2</v>
      </c>
      <c r="H267" s="75">
        <f>B258</f>
        <v>1</v>
      </c>
      <c r="I267" s="91">
        <f>E267*G267*H267</f>
        <v>6668</v>
      </c>
      <c r="J267" s="82">
        <f t="shared" si="29"/>
        <v>3334</v>
      </c>
      <c r="K267" s="67"/>
      <c r="L267" s="67"/>
      <c r="M267" s="67"/>
      <c r="N267" s="67"/>
      <c r="O267" s="67"/>
      <c r="P267" s="67"/>
      <c r="Q267" s="67"/>
      <c r="R267" s="67"/>
      <c r="S267" s="67"/>
      <c r="T267" s="67"/>
      <c r="U267" s="67"/>
      <c r="V267" s="67"/>
      <c r="W267" s="67"/>
      <c r="X267" s="67"/>
      <c r="Y267" s="67"/>
      <c r="Z267" s="67"/>
    </row>
    <row r="268" spans="1:26" ht="15.75" customHeight="1">
      <c r="A268" s="61"/>
      <c r="B268" s="83"/>
      <c r="C268" s="83" t="s">
        <v>770</v>
      </c>
      <c r="D268" s="83"/>
      <c r="E268" s="83"/>
      <c r="F268" s="84"/>
      <c r="G268" s="85"/>
      <c r="H268" s="85"/>
      <c r="I268" s="687">
        <f>SUM(I261:I267)</f>
        <v>52483</v>
      </c>
      <c r="J268" s="86">
        <f t="shared" si="29"/>
        <v>26241.5</v>
      </c>
      <c r="K268" s="67"/>
      <c r="L268" s="67"/>
      <c r="M268" s="67"/>
      <c r="N268" s="67"/>
      <c r="O268" s="67"/>
      <c r="P268" s="67"/>
      <c r="Q268" s="67"/>
      <c r="R268" s="67"/>
      <c r="S268" s="67"/>
      <c r="T268" s="67"/>
      <c r="U268" s="67"/>
      <c r="V268" s="67"/>
      <c r="W268" s="67"/>
      <c r="X268" s="67"/>
      <c r="Y268" s="67"/>
      <c r="Z268" s="67"/>
    </row>
    <row r="269" spans="1:26" ht="15.75" customHeight="1">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5.75" customHeight="1">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5.75" customHeight="1">
      <c r="A271" s="700" t="s">
        <v>818</v>
      </c>
      <c r="B271" s="701"/>
      <c r="C271" s="701"/>
      <c r="D271" s="701"/>
      <c r="E271" s="701"/>
      <c r="F271" s="701"/>
      <c r="G271" s="701"/>
      <c r="H271" s="701"/>
      <c r="I271" s="701"/>
      <c r="J271" s="701"/>
      <c r="K271" s="701"/>
      <c r="L271" s="701"/>
      <c r="M271" s="701"/>
      <c r="N271" s="701"/>
      <c r="O271" s="701"/>
      <c r="P271" s="701"/>
      <c r="Q271" s="701"/>
      <c r="R271" s="701"/>
      <c r="S271" s="701"/>
      <c r="T271" s="701"/>
      <c r="U271" s="701"/>
      <c r="V271" s="701"/>
      <c r="W271" s="701"/>
      <c r="X271" s="701"/>
      <c r="Y271" s="701"/>
      <c r="Z271" s="701"/>
    </row>
    <row r="272" spans="1:26" ht="15.75" customHeight="1">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5.75" customHeight="1">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5.75" customHeight="1">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5.75" customHeight="1">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5.75" customHeight="1">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5.75" customHeight="1">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5.75" customHeight="1">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5.75" customHeight="1">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5.75" customHeight="1">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5.75" customHeight="1">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5.75" customHeight="1">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5.75" customHeight="1">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5.75" customHeight="1">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5.75" customHeight="1">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5.75" customHeight="1">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5.75" customHeight="1">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5.75" customHeight="1">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5.75" customHeight="1">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5.75" customHeight="1">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5.75" customHeight="1">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5.75" customHeight="1">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5.75" customHeight="1">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5.75" customHeight="1">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5.75" customHeight="1">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5.75" customHeight="1">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5.75" customHeight="1">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5.75" customHeight="1">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5.75" customHeight="1">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5.75" customHeight="1">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5.75" customHeight="1">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5.75" customHeight="1">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5.75" customHeight="1">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5.75" customHeight="1">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5.75" customHeight="1">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5.75" customHeight="1">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5.75" customHeight="1">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5.75" customHeight="1">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5.75" customHeight="1">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5.75" customHeight="1">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5.75" customHeight="1">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5.75" customHeight="1">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5.75" customHeight="1">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5.75" customHeight="1">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5.75" customHeight="1">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5.75" customHeight="1">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5.75" customHeight="1">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5.75" customHeight="1">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5.75" customHeight="1">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5.75" customHeight="1">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5.75" customHeight="1">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5.75" customHeight="1">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5.75" customHeight="1">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5.75" customHeight="1">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5.75" customHeight="1">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5.75" customHeight="1">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5.75" customHeight="1">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5.75" customHeight="1">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5.75" customHeight="1">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5.75" customHeight="1">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5.75" customHeight="1">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5.75" customHeight="1">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5.75" customHeight="1">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5.75" customHeight="1">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5.75" customHeight="1">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5.75" customHeight="1">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5.75" customHeight="1">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5.75" customHeight="1">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5.75" customHeight="1">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5.75" customHeight="1">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5.75" customHeight="1">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5.75" customHeight="1">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5.75" customHeight="1">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5.75" customHeight="1">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5.75" customHeight="1">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5.75" customHeight="1">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5.75" customHeight="1">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5.75" customHeight="1">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5.75" customHeight="1">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5.75" customHeight="1">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5.75" customHeight="1">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5.75" customHeight="1">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5.75" customHeight="1">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5.75" customHeight="1">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5.75" customHeight="1">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5.75" customHeight="1">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5.75" customHeight="1">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5.75" customHeight="1">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5.75" customHeight="1">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5.75" customHeight="1">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5.75" customHeight="1">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5.75" customHeight="1">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5.75" customHeight="1">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5.75" customHeight="1">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5.75" customHeight="1">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5.75" customHeight="1">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5.75" customHeight="1">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5.75" customHeight="1">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5.75" customHeight="1">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5.75" customHeight="1">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5.75" customHeight="1">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5.75" customHeight="1">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5.75" customHeight="1">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5.75" customHeight="1">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5.75" customHeight="1">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5.75" customHeight="1">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5.75" customHeight="1">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5.75" customHeight="1">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5.75" customHeight="1">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5.75" customHeight="1">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5.75" customHeight="1">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5.75" customHeight="1">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5.75" customHeight="1">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5.75" customHeight="1">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5.75" customHeight="1">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5.75" customHeight="1">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5.75" customHeight="1">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5.75" customHeight="1">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5.75" customHeight="1">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5.75" customHeight="1">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5.75" customHeight="1">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5.75" customHeight="1">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5.75" customHeight="1">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5.75" customHeight="1">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5.75" customHeight="1">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5.75" customHeight="1">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5.75" customHeight="1">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5.75" customHeight="1">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5.75" customHeight="1">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5.75" customHeight="1">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5.75" customHeight="1">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5.75" customHeight="1">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5.75" customHeight="1">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5.75" customHeight="1">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5.75" customHeight="1">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5.75" customHeight="1">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5.75" customHeight="1">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5.75" customHeight="1">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5.75" customHeight="1">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5.75" customHeight="1">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5.75" customHeight="1">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5.75" customHeight="1">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5.75" customHeight="1">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5.75" customHeight="1">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5.75" customHeight="1">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5.75" customHeight="1">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5.75" customHeight="1">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5.75" customHeight="1">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5.75" customHeight="1">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5.75" customHeight="1">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5.75" customHeight="1">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5.75" customHeight="1">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5.75" customHeight="1">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5.75" customHeight="1">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5.75" customHeight="1">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5.75" customHeight="1">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5.75" customHeight="1">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5.75" customHeight="1">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5.75" customHeight="1">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5.75" customHeight="1">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5.75" customHeight="1">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5.75" customHeight="1">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5.75" customHeight="1">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5.75" customHeight="1">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5.75" customHeight="1">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5.75" customHeight="1">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5.75" customHeight="1">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5.75" customHeight="1">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5.75" customHeight="1">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5.75" customHeight="1">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5.75" customHeight="1">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5.75" customHeight="1">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5.75" customHeight="1">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5.75" customHeight="1">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5.75" customHeight="1">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5.75" customHeight="1">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5.75" customHeight="1">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5.75" customHeight="1">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5.75" customHeight="1">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5.75" customHeight="1">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5.75" customHeight="1">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5.75" customHeight="1">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5.75" customHeight="1">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5.75" customHeight="1">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5.75" customHeight="1">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5.75" customHeight="1">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5.75" customHeight="1">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5.75" customHeight="1">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5.75" customHeight="1">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5.75" customHeight="1">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5.75" customHeight="1">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5.75" customHeight="1">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5.75" customHeight="1">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5.75" customHeight="1">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5.75" customHeight="1">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5.75" customHeight="1">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5.75" customHeight="1">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5.75" customHeight="1">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5.75" customHeight="1">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5.75" customHeight="1">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5.75" customHeight="1">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5.75" customHeight="1">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5.75" customHeight="1">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5.75" customHeight="1">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5.75" customHeight="1">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5.75" customHeight="1">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5.75" customHeight="1">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5.75" customHeight="1">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5.75" customHeight="1">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5.75" customHeight="1">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5.75" customHeight="1">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5.75" customHeight="1">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5.75" customHeight="1">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5.75" customHeight="1">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5.75" customHeight="1">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5.75" customHeight="1">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5.75" customHeight="1">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5.75" customHeight="1">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5.75" customHeight="1">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5.75" customHeight="1">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5.75" customHeight="1">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5.75" customHeight="1">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5.75" customHeight="1">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5.75" customHeight="1">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5.75" customHeight="1">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5.75" customHeight="1">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5.75" customHeight="1">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5.75" customHeight="1">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5.75" customHeight="1">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5.75" customHeight="1">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5.75" customHeight="1">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5.75" customHeight="1">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5.75" customHeight="1">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5.75" customHeight="1">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5.75" customHeight="1">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5.75" customHeight="1">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5.75" customHeight="1">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5.75" customHeight="1">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5.75" customHeight="1">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5.75" customHeight="1">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5.75" customHeight="1">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5.75" customHeight="1">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5.75" customHeight="1">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5.75" customHeight="1">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5.75" customHeight="1">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5.75" customHeight="1">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5.75" customHeight="1">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5.75" customHeight="1">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5.75" customHeight="1">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5.75" customHeight="1">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5.75" customHeight="1">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5.75" customHeight="1">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5.75" customHeight="1">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5.75" customHeight="1">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5.75" customHeight="1">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5.75" customHeight="1">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5.75" customHeight="1">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5.75" customHeight="1">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5.75" customHeight="1">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5.75" customHeight="1">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5.75" customHeight="1">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5.75" customHeight="1">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5.75" customHeight="1">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5.75" customHeight="1">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5.75" customHeight="1">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5.75" customHeight="1">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5.75" customHeight="1">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5.75" customHeight="1">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5.75" customHeight="1">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5.75" customHeight="1">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5.75" customHeight="1">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5.75" customHeight="1">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5.75" customHeight="1">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5.75" customHeight="1">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5.75" customHeight="1">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5.75" customHeight="1">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5.75" customHeight="1">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5.75" customHeight="1">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5.75" customHeight="1">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5.75" customHeight="1">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5.75" customHeight="1">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5.75" customHeight="1">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5.75" customHeight="1">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5.75" customHeight="1">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5.75" customHeight="1">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5.75" customHeight="1">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5.75" customHeight="1">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5.75" customHeight="1">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5.75" customHeight="1">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5.75" customHeight="1">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5.75" customHeight="1">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5.75" customHeight="1">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5.75" customHeight="1">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5.75" customHeight="1">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5.75" customHeight="1">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5.75" customHeight="1">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5.75" customHeight="1">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5.75" customHeight="1">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5.75" customHeight="1">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5.75" customHeight="1">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5.75" customHeight="1">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5.75" customHeight="1">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5.75" customHeight="1">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5.75" customHeight="1">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5.75" customHeight="1">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5.75" customHeight="1">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5.75" customHeight="1">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5.75" customHeight="1">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5.75" customHeight="1">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5.75" customHeight="1">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5.75" customHeight="1">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5.75" customHeight="1">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5.75" customHeight="1">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5.75" customHeight="1">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5.75" customHeight="1">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5.75" customHeight="1">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5.75" customHeight="1">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5.75" customHeight="1">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5.75" customHeight="1">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5.75" customHeight="1">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5.75" customHeight="1">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5.75" customHeight="1">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5.75" customHeight="1">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5.75" customHeight="1">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5.75" customHeight="1">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5.75" customHeight="1">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5.75" customHeight="1">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5.75" customHeight="1">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5.75" customHeight="1">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5.75" customHeight="1">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5.75" customHeight="1">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5.75" customHeight="1">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5.75" customHeight="1">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5.75" customHeight="1">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5.75" customHeight="1">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5.75" customHeight="1">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5.75" customHeight="1">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5.75" customHeight="1">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5.75" customHeight="1">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5.75" customHeight="1">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5.75" customHeight="1">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5.75" customHeight="1">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5.75" customHeight="1">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5.75" customHeight="1">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5.75" customHeight="1">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5.75" customHeight="1">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5.75" customHeight="1">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5.75" customHeight="1">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5.75" customHeight="1">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5.75" customHeight="1">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5.75" customHeight="1">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5.75" customHeight="1">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5.75" customHeight="1">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5.75" customHeight="1">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5.75" customHeight="1">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5.75" customHeight="1">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5.75" customHeight="1">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5.75" customHeight="1">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5.75" customHeight="1">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5.75" customHeight="1">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5.75" customHeight="1">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5.75" customHeight="1">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5.75" customHeight="1">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5.75" customHeight="1">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5.75" customHeight="1">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5.75" customHeight="1">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5.75" customHeight="1">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5.75" customHeight="1">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5.75" customHeight="1">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5.75" customHeight="1">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5.75" customHeight="1">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5.75" customHeight="1">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5.75" customHeight="1">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5.75" customHeight="1">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5.75" customHeight="1">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5.75" customHeight="1">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5.75" customHeight="1">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5.75" customHeight="1">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5.75" customHeight="1">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5.75" customHeight="1">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5.75" customHeight="1">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5.75" customHeight="1">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5.75" customHeight="1">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5.75" customHeight="1">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5.75" customHeight="1">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5.75" customHeight="1">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5.75" customHeight="1">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5.75" customHeight="1">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5.75" customHeight="1">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5.75" customHeight="1">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5.75" customHeight="1">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5.75" customHeight="1">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5.75" customHeight="1">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5.75" customHeight="1">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5.75" customHeight="1">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5.75" customHeight="1">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5.75" customHeight="1">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5.75" customHeight="1">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5.75" customHeight="1">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5.75" customHeight="1">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5.75" customHeight="1">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5.75" customHeight="1">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5.75" customHeight="1">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5.75" customHeight="1">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5.75" customHeight="1">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5.75" customHeight="1">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5.75" customHeight="1">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5.75" customHeight="1">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5.75" customHeight="1">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5.75" customHeight="1">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5.75" customHeight="1">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5.75" customHeight="1">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5.75" customHeight="1">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5.75" customHeight="1">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5.75" customHeight="1">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5.75" customHeight="1">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5.75" customHeight="1">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5.75" customHeight="1">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5.75" customHeight="1">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5.75" customHeight="1">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5.75" customHeight="1">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5.75" customHeight="1">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5.75" customHeight="1">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5.75" customHeight="1">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5.75" customHeight="1">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5.75" customHeight="1">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5.75" customHeight="1">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5.75" customHeight="1">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5.75" customHeight="1">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5.75" customHeight="1">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5.75" customHeight="1">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5.75" customHeight="1">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5.75" customHeight="1">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5.75" customHeight="1">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5.75" customHeight="1">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5.75" customHeight="1">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5.75" customHeight="1">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5.75" customHeight="1">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5.75" customHeight="1">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5.75" customHeight="1">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5.75" customHeight="1">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5.75" customHeight="1">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5.75" customHeight="1">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5.75" customHeight="1">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5.75" customHeight="1">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5.75" customHeight="1">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5.75" customHeight="1">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5.75" customHeight="1">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5.75" customHeight="1">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5.75" customHeight="1">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5.75" customHeight="1">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5.75" customHeight="1">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5.75" customHeight="1">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5.75" customHeight="1">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5.75" customHeight="1">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5.75" customHeight="1">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5.75" customHeight="1">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5.75" customHeight="1">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5.75" customHeight="1">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5.75" customHeight="1">
      <c r="A730" s="67"/>
      <c r="B730" s="67"/>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5.75" customHeight="1">
      <c r="A731" s="67"/>
      <c r="B731" s="67"/>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5.75" customHeight="1">
      <c r="A732" s="67"/>
      <c r="B732" s="67"/>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5.75" customHeight="1">
      <c r="A733" s="67"/>
      <c r="B733" s="67"/>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5.75" customHeight="1">
      <c r="A734" s="67"/>
      <c r="B734" s="67"/>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5.75" customHeight="1">
      <c r="A735" s="67"/>
      <c r="B735" s="67"/>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5.75" customHeight="1">
      <c r="A736" s="67"/>
      <c r="B736" s="67"/>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5.75" customHeight="1">
      <c r="A737" s="67"/>
      <c r="B737" s="67"/>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5.75" customHeight="1">
      <c r="A738" s="67"/>
      <c r="B738" s="67"/>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5.75" customHeight="1">
      <c r="A739" s="67"/>
      <c r="B739" s="67"/>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5.75" customHeight="1">
      <c r="A740" s="67"/>
      <c r="B740" s="67"/>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5.75" customHeight="1">
      <c r="A741" s="67"/>
      <c r="B741" s="67"/>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5.75" customHeight="1">
      <c r="A742" s="67"/>
      <c r="B742" s="67"/>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5.75" customHeight="1">
      <c r="A743" s="67"/>
      <c r="B743" s="67"/>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5.75" customHeight="1">
      <c r="A744" s="67"/>
      <c r="B744" s="67"/>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5.75" customHeight="1">
      <c r="A745" s="67"/>
      <c r="B745" s="67"/>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5.75" customHeight="1">
      <c r="A746" s="67"/>
      <c r="B746" s="67"/>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5.75" customHeight="1">
      <c r="A747" s="67"/>
      <c r="B747" s="67"/>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5.75" customHeight="1">
      <c r="A748" s="67"/>
      <c r="B748" s="67"/>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5.75" customHeight="1">
      <c r="A749" s="67"/>
      <c r="B749" s="67"/>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5.75" customHeight="1">
      <c r="A750" s="67"/>
      <c r="B750" s="67"/>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5.75" customHeight="1">
      <c r="A751" s="67"/>
      <c r="B751" s="67"/>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5.75" customHeight="1">
      <c r="A752" s="67"/>
      <c r="B752" s="67"/>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5.75" customHeight="1">
      <c r="A753" s="67"/>
      <c r="B753" s="67"/>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5.75" customHeight="1">
      <c r="A754" s="67"/>
      <c r="B754" s="67"/>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5.75" customHeight="1">
      <c r="A755" s="67"/>
      <c r="B755" s="67"/>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5.75" customHeight="1">
      <c r="A756" s="67"/>
      <c r="B756" s="67"/>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5.75" customHeight="1">
      <c r="A757" s="67"/>
      <c r="B757" s="67"/>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5.75" customHeight="1">
      <c r="A758" s="67"/>
      <c r="B758" s="67"/>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5.75" customHeight="1">
      <c r="A759" s="67"/>
      <c r="B759" s="67"/>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5.75" customHeight="1">
      <c r="A760" s="67"/>
      <c r="B760" s="67"/>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5.75" customHeight="1">
      <c r="A761" s="67"/>
      <c r="B761" s="67"/>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5.75" customHeight="1">
      <c r="A762" s="67"/>
      <c r="B762" s="67"/>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5.75" customHeight="1">
      <c r="A763" s="67"/>
      <c r="B763" s="67"/>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5.75" customHeight="1">
      <c r="A764" s="67"/>
      <c r="B764" s="67"/>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5.75" customHeight="1">
      <c r="A765" s="67"/>
      <c r="B765" s="67"/>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5.75" customHeight="1">
      <c r="A766" s="67"/>
      <c r="B766" s="67"/>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5.75" customHeight="1">
      <c r="A767" s="67"/>
      <c r="B767" s="67"/>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5.75" customHeight="1">
      <c r="A768" s="67"/>
      <c r="B768" s="67"/>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5.75" customHeight="1">
      <c r="A769" s="67"/>
      <c r="B769" s="67"/>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5.75" customHeight="1">
      <c r="A770" s="67"/>
      <c r="B770" s="67"/>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5.75" customHeight="1">
      <c r="A771" s="67"/>
      <c r="B771" s="67"/>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5.75" customHeight="1">
      <c r="A772" s="67"/>
      <c r="B772" s="67"/>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5.75" customHeight="1">
      <c r="A773" s="67"/>
      <c r="B773" s="67"/>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5.75" customHeight="1">
      <c r="A774" s="67"/>
      <c r="B774" s="67"/>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5.75" customHeight="1">
      <c r="A775" s="67"/>
      <c r="B775" s="67"/>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5.75" customHeight="1">
      <c r="A776" s="67"/>
      <c r="B776" s="67"/>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5.75" customHeight="1">
      <c r="A777" s="67"/>
      <c r="B777" s="67"/>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5.75" customHeight="1">
      <c r="A778" s="67"/>
      <c r="B778" s="67"/>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5.75" customHeight="1">
      <c r="A779" s="67"/>
      <c r="B779" s="67"/>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5.75" customHeight="1">
      <c r="A780" s="67"/>
      <c r="B780" s="67"/>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5.75" customHeight="1">
      <c r="A781" s="67"/>
      <c r="B781" s="67"/>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5.75" customHeight="1">
      <c r="A782" s="67"/>
      <c r="B782" s="67"/>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5.75" customHeight="1">
      <c r="A783" s="67"/>
      <c r="B783" s="67"/>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5.75" customHeight="1">
      <c r="A784" s="67"/>
      <c r="B784" s="67"/>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5.75" customHeight="1">
      <c r="A785" s="67"/>
      <c r="B785" s="67"/>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5.75" customHeight="1">
      <c r="A786" s="67"/>
      <c r="B786" s="67"/>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5.75" customHeight="1">
      <c r="A787" s="67"/>
      <c r="B787" s="67"/>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5.75" customHeight="1">
      <c r="A788" s="67"/>
      <c r="B788" s="67"/>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5.75" customHeight="1">
      <c r="A789" s="67"/>
      <c r="B789" s="67"/>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5.75" customHeight="1">
      <c r="A790" s="67"/>
      <c r="B790" s="67"/>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5.75" customHeight="1">
      <c r="A791" s="67"/>
      <c r="B791" s="67"/>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5.75" customHeight="1">
      <c r="A792" s="67"/>
      <c r="B792" s="67"/>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5.75" customHeight="1">
      <c r="A793" s="67"/>
      <c r="B793" s="67"/>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5.75" customHeight="1">
      <c r="A794" s="67"/>
      <c r="B794" s="67"/>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5.75" customHeight="1">
      <c r="A795" s="67"/>
      <c r="B795" s="67"/>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8">
    <mergeCell ref="A25:A33"/>
    <mergeCell ref="B25:B27"/>
    <mergeCell ref="B28:B30"/>
    <mergeCell ref="A5:A18"/>
    <mergeCell ref="B5:B11"/>
    <mergeCell ref="B12:B18"/>
    <mergeCell ref="A19:A24"/>
    <mergeCell ref="B19:B24"/>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0"/>
  <sheetViews>
    <sheetView showGridLines="0" topLeftCell="B1" workbookViewId="0"/>
  </sheetViews>
  <sheetFormatPr defaultColWidth="14.44140625" defaultRowHeight="15" customHeight="1"/>
  <cols>
    <col min="1" max="1" width="19.109375" hidden="1" customWidth="1"/>
    <col min="2" max="2" width="24.5546875" customWidth="1"/>
    <col min="3" max="3" width="50.5546875" customWidth="1"/>
    <col min="4" max="4" width="20.33203125" customWidth="1"/>
    <col min="5" max="5" width="15.33203125" customWidth="1"/>
    <col min="6" max="6" width="12.33203125" customWidth="1"/>
    <col min="7" max="11" width="10.6640625" customWidth="1"/>
    <col min="12" max="12" width="14" customWidth="1"/>
    <col min="13" max="13" width="13.5546875" customWidth="1"/>
    <col min="14" max="14" width="14.109375" customWidth="1"/>
    <col min="15" max="17" width="10.6640625" customWidth="1"/>
    <col min="18" max="18" width="15.33203125" customWidth="1"/>
    <col min="19" max="26" width="10" customWidth="1"/>
  </cols>
  <sheetData>
    <row r="1" spans="1:26" ht="13.5" customHeight="1">
      <c r="A1" s="111"/>
      <c r="B1" s="111" t="s">
        <v>819</v>
      </c>
      <c r="C1" s="111"/>
      <c r="D1" s="111"/>
      <c r="E1" s="111"/>
      <c r="F1" s="111"/>
      <c r="G1" s="111"/>
      <c r="H1" s="111"/>
      <c r="I1" s="111"/>
      <c r="J1" s="111"/>
      <c r="K1" s="111"/>
      <c r="L1" s="111"/>
      <c r="M1" s="111"/>
      <c r="N1" s="111"/>
      <c r="O1" s="111"/>
      <c r="P1" s="111"/>
      <c r="Q1" s="111"/>
      <c r="R1" s="111"/>
      <c r="S1" s="111"/>
      <c r="T1" s="111"/>
      <c r="U1" s="111"/>
      <c r="V1" s="111"/>
      <c r="W1" s="111"/>
      <c r="X1" s="111"/>
      <c r="Y1" s="111"/>
      <c r="Z1" s="111"/>
    </row>
    <row r="2" spans="1:26" ht="13.5" customHeight="1">
      <c r="A2" s="112"/>
      <c r="B2" s="702">
        <v>1</v>
      </c>
      <c r="C2" s="113" t="s">
        <v>696</v>
      </c>
      <c r="D2" s="113" t="s">
        <v>820</v>
      </c>
      <c r="E2" s="114" t="s">
        <v>821</v>
      </c>
      <c r="F2" s="113" t="s">
        <v>822</v>
      </c>
      <c r="G2" s="113" t="s">
        <v>823</v>
      </c>
      <c r="H2" s="113" t="s">
        <v>700</v>
      </c>
      <c r="I2" s="113" t="s">
        <v>695</v>
      </c>
      <c r="J2" s="111"/>
      <c r="K2" s="111"/>
      <c r="L2" s="111"/>
      <c r="M2" s="111"/>
      <c r="N2" s="111"/>
      <c r="O2" s="111"/>
      <c r="P2" s="111"/>
      <c r="Q2" s="111"/>
      <c r="R2" s="111"/>
      <c r="S2" s="111"/>
      <c r="T2" s="111"/>
      <c r="U2" s="111"/>
      <c r="V2" s="111"/>
      <c r="W2" s="111"/>
      <c r="X2" s="111"/>
      <c r="Y2" s="111"/>
      <c r="Z2" s="111"/>
    </row>
    <row r="3" spans="1:26" ht="13.5" customHeight="1">
      <c r="A3" s="115" t="s">
        <v>824</v>
      </c>
      <c r="B3" s="67"/>
      <c r="C3" s="116" t="s">
        <v>825</v>
      </c>
      <c r="D3" s="117">
        <v>34178.816410256411</v>
      </c>
      <c r="E3" s="118">
        <v>38383</v>
      </c>
      <c r="F3" s="119">
        <f>D3/'Assumptions Other_AUN'!$D$35</f>
        <v>203.44533577533579</v>
      </c>
      <c r="G3" s="120">
        <v>7.8761671580238781</v>
      </c>
      <c r="H3" s="121" t="s">
        <v>826</v>
      </c>
      <c r="I3" s="121" t="s">
        <v>827</v>
      </c>
      <c r="J3" s="111"/>
      <c r="K3" s="111"/>
      <c r="L3" s="111"/>
      <c r="M3" s="111"/>
      <c r="N3" s="111"/>
      <c r="O3" s="111"/>
      <c r="P3" s="111"/>
      <c r="Q3" s="111"/>
      <c r="R3" s="111"/>
      <c r="S3" s="111"/>
      <c r="T3" s="111"/>
      <c r="U3" s="111"/>
      <c r="V3" s="111"/>
      <c r="W3" s="111"/>
      <c r="X3" s="111"/>
      <c r="Y3" s="111"/>
      <c r="Z3" s="111"/>
    </row>
    <row r="4" spans="1:26" ht="13.5" customHeight="1">
      <c r="A4" s="115" t="s">
        <v>824</v>
      </c>
      <c r="B4" s="67"/>
      <c r="C4" s="116" t="s">
        <v>828</v>
      </c>
      <c r="D4" s="117">
        <v>29403.679688933073</v>
      </c>
      <c r="E4" s="118">
        <v>11889</v>
      </c>
      <c r="F4" s="119">
        <f>D4/'Assumptions Other_AUN'!$D$35</f>
        <v>175.0219029103159</v>
      </c>
      <c r="G4" s="120">
        <v>6.7757845535439074</v>
      </c>
      <c r="H4" s="121" t="s">
        <v>829</v>
      </c>
      <c r="I4" s="121" t="s">
        <v>827</v>
      </c>
      <c r="J4" s="111"/>
      <c r="K4" s="111"/>
      <c r="L4" s="111"/>
      <c r="M4" s="111"/>
      <c r="N4" s="111"/>
      <c r="O4" s="111"/>
      <c r="P4" s="111"/>
      <c r="Q4" s="111"/>
      <c r="R4" s="111"/>
      <c r="S4" s="111"/>
      <c r="T4" s="111"/>
      <c r="U4" s="111"/>
      <c r="V4" s="111"/>
      <c r="W4" s="111"/>
      <c r="X4" s="111"/>
      <c r="Y4" s="111"/>
      <c r="Z4" s="111"/>
    </row>
    <row r="5" spans="1:26" ht="13.5" customHeight="1">
      <c r="A5" s="115" t="s">
        <v>824</v>
      </c>
      <c r="B5" s="67"/>
      <c r="C5" s="116" t="s">
        <v>830</v>
      </c>
      <c r="D5" s="117">
        <v>29403.679688933073</v>
      </c>
      <c r="E5" s="118">
        <v>25194</v>
      </c>
      <c r="F5" s="119">
        <f>D5/'Assumptions Other_AUN'!$D$35</f>
        <v>175.0219029103159</v>
      </c>
      <c r="G5" s="120">
        <v>6.7757845535439074</v>
      </c>
      <c r="H5" s="121" t="s">
        <v>829</v>
      </c>
      <c r="I5" s="121" t="s">
        <v>827</v>
      </c>
      <c r="J5" s="111"/>
      <c r="K5" s="111"/>
      <c r="L5" s="111"/>
      <c r="M5" s="111"/>
      <c r="N5" s="111"/>
      <c r="O5" s="111"/>
      <c r="P5" s="111"/>
      <c r="Q5" s="111"/>
      <c r="R5" s="111"/>
      <c r="S5" s="111"/>
      <c r="T5" s="111"/>
      <c r="U5" s="111"/>
      <c r="V5" s="111"/>
      <c r="W5" s="111"/>
      <c r="X5" s="111"/>
      <c r="Y5" s="111"/>
      <c r="Z5" s="111"/>
    </row>
    <row r="6" spans="1:26" ht="13.5" customHeight="1">
      <c r="A6" s="115" t="s">
        <v>824</v>
      </c>
      <c r="B6" s="67"/>
      <c r="C6" s="116" t="s">
        <v>831</v>
      </c>
      <c r="D6" s="117"/>
      <c r="E6" s="117"/>
      <c r="F6" s="117">
        <v>182.10571428571424</v>
      </c>
      <c r="G6" s="120">
        <v>7.0500266849543847</v>
      </c>
      <c r="H6" s="121" t="s">
        <v>832</v>
      </c>
      <c r="I6" s="121" t="s">
        <v>827</v>
      </c>
      <c r="J6" s="111"/>
      <c r="K6" s="111"/>
      <c r="L6" s="111"/>
      <c r="M6" s="111"/>
      <c r="N6" s="111"/>
      <c r="O6" s="111"/>
      <c r="P6" s="111"/>
      <c r="Q6" s="111"/>
      <c r="R6" s="111"/>
      <c r="S6" s="111"/>
      <c r="T6" s="111"/>
      <c r="U6" s="111"/>
      <c r="V6" s="111"/>
      <c r="W6" s="111"/>
      <c r="X6" s="111"/>
      <c r="Y6" s="111"/>
      <c r="Z6" s="111"/>
    </row>
    <row r="7" spans="1:26" ht="13.5" customHeight="1">
      <c r="A7" s="115" t="s">
        <v>833</v>
      </c>
      <c r="B7" s="67"/>
      <c r="C7" s="116" t="s">
        <v>834</v>
      </c>
      <c r="D7" s="117"/>
      <c r="E7" s="117"/>
      <c r="F7" s="117">
        <v>122.12180952380952</v>
      </c>
      <c r="G7" s="120">
        <v>4.7278143870157185</v>
      </c>
      <c r="H7" s="121"/>
      <c r="I7" s="121" t="s">
        <v>827</v>
      </c>
      <c r="J7" s="111"/>
      <c r="K7" s="111"/>
      <c r="L7" s="111"/>
      <c r="M7" s="111"/>
      <c r="N7" s="111"/>
      <c r="O7" s="111"/>
      <c r="P7" s="111"/>
      <c r="Q7" s="111"/>
      <c r="R7" s="111"/>
      <c r="S7" s="111"/>
      <c r="T7" s="111"/>
      <c r="U7" s="111"/>
      <c r="V7" s="111"/>
      <c r="W7" s="111"/>
      <c r="X7" s="111"/>
      <c r="Y7" s="111"/>
      <c r="Z7" s="111"/>
    </row>
    <row r="8" spans="1:26" ht="13.5" customHeight="1">
      <c r="A8" s="115"/>
      <c r="B8" s="67"/>
      <c r="C8" s="116" t="s">
        <v>835</v>
      </c>
      <c r="D8" s="117">
        <v>13448.935416666665</v>
      </c>
      <c r="E8" s="117"/>
      <c r="F8" s="119">
        <f>D8/'Assumptions Other_AUN'!$D$35</f>
        <v>80.053187003968247</v>
      </c>
      <c r="G8" s="120">
        <v>3.0991729546066953</v>
      </c>
      <c r="H8" s="121"/>
      <c r="I8" s="121" t="s">
        <v>827</v>
      </c>
      <c r="J8" s="111"/>
      <c r="K8" s="111"/>
      <c r="L8" s="111"/>
      <c r="M8" s="111"/>
      <c r="N8" s="111"/>
      <c r="O8" s="111"/>
      <c r="P8" s="111"/>
      <c r="Q8" s="111"/>
      <c r="R8" s="111"/>
      <c r="S8" s="111"/>
      <c r="T8" s="111"/>
      <c r="U8" s="111"/>
      <c r="V8" s="111"/>
      <c r="W8" s="111"/>
      <c r="X8" s="111"/>
      <c r="Y8" s="111"/>
      <c r="Z8" s="111"/>
    </row>
    <row r="9" spans="1:26" ht="13.5" customHeight="1">
      <c r="A9" s="67"/>
      <c r="B9" s="67"/>
      <c r="C9" s="67"/>
      <c r="D9" s="67"/>
      <c r="E9" s="67"/>
      <c r="F9" s="67"/>
      <c r="G9" s="67"/>
      <c r="H9" s="67"/>
      <c r="I9" s="67"/>
      <c r="J9" s="67"/>
      <c r="K9" s="67"/>
      <c r="L9" s="67"/>
      <c r="M9" s="67"/>
      <c r="N9" s="67"/>
      <c r="O9" s="67"/>
      <c r="P9" s="67"/>
      <c r="Q9" s="67"/>
      <c r="R9" s="67"/>
      <c r="S9" s="67"/>
      <c r="T9" s="67"/>
      <c r="U9" s="67"/>
      <c r="V9" s="67"/>
      <c r="W9" s="67"/>
      <c r="X9" s="67"/>
      <c r="Y9" s="67"/>
      <c r="Z9" s="67"/>
    </row>
    <row r="10" spans="1:26" ht="13.5" customHeight="1">
      <c r="A10" s="67"/>
      <c r="B10" s="67"/>
      <c r="C10" s="67"/>
      <c r="D10" s="67"/>
      <c r="E10" s="67"/>
      <c r="F10" s="67"/>
      <c r="G10" s="67"/>
      <c r="H10" s="67"/>
      <c r="I10" s="67"/>
      <c r="J10" s="67"/>
      <c r="K10" s="67"/>
      <c r="L10" s="67"/>
      <c r="M10" s="67"/>
      <c r="N10" s="67"/>
      <c r="O10" s="67"/>
      <c r="P10" s="67"/>
      <c r="Q10" s="67"/>
      <c r="R10" s="67"/>
      <c r="S10" s="67"/>
      <c r="T10" s="67"/>
      <c r="U10" s="67"/>
      <c r="V10" s="67"/>
      <c r="W10" s="67"/>
      <c r="X10" s="67"/>
      <c r="Y10" s="67"/>
      <c r="Z10" s="67"/>
    </row>
    <row r="11" spans="1:26" ht="13.5" customHeight="1">
      <c r="A11" s="67"/>
      <c r="B11" s="702">
        <v>2</v>
      </c>
      <c r="C11" s="703" t="s">
        <v>544</v>
      </c>
      <c r="D11" s="67"/>
      <c r="E11" s="67" t="s">
        <v>836</v>
      </c>
      <c r="F11" s="67" t="s">
        <v>837</v>
      </c>
      <c r="G11" s="67" t="s">
        <v>838</v>
      </c>
      <c r="H11" s="67" t="s">
        <v>839</v>
      </c>
      <c r="I11" s="67" t="s">
        <v>840</v>
      </c>
      <c r="J11" s="67" t="s">
        <v>841</v>
      </c>
      <c r="K11" s="67" t="s">
        <v>842</v>
      </c>
      <c r="L11" s="67" t="s">
        <v>843</v>
      </c>
      <c r="M11" s="67" t="s">
        <v>844</v>
      </c>
      <c r="N11" s="67" t="s">
        <v>845</v>
      </c>
      <c r="O11" s="67" t="s">
        <v>846</v>
      </c>
      <c r="P11" s="67" t="s">
        <v>847</v>
      </c>
      <c r="Q11" s="67"/>
      <c r="R11" s="67"/>
      <c r="S11" s="67"/>
      <c r="T11" s="67"/>
      <c r="U11" s="67"/>
      <c r="V11" s="67"/>
      <c r="W11" s="67"/>
      <c r="X11" s="67"/>
      <c r="Y11" s="67"/>
      <c r="Z11" s="67"/>
    </row>
    <row r="12" spans="1:26" ht="13.5" customHeight="1">
      <c r="A12" s="67"/>
      <c r="B12" s="67"/>
      <c r="C12" s="122" t="s">
        <v>808</v>
      </c>
      <c r="D12" s="122" t="s">
        <v>848</v>
      </c>
      <c r="E12" s="123">
        <v>70</v>
      </c>
      <c r="F12" s="123">
        <v>70</v>
      </c>
      <c r="G12" s="123">
        <v>70</v>
      </c>
      <c r="H12" s="123">
        <v>70</v>
      </c>
      <c r="I12" s="123">
        <v>70</v>
      </c>
      <c r="J12" s="123">
        <v>70</v>
      </c>
      <c r="K12" s="123">
        <v>70</v>
      </c>
      <c r="L12" s="123">
        <v>70</v>
      </c>
      <c r="M12" s="123">
        <v>70</v>
      </c>
      <c r="N12" s="123">
        <v>70</v>
      </c>
      <c r="O12" s="123">
        <v>70</v>
      </c>
      <c r="P12" s="123">
        <v>70</v>
      </c>
      <c r="Q12" s="67"/>
      <c r="R12" s="67"/>
      <c r="S12" s="67"/>
      <c r="T12" s="67"/>
      <c r="U12" s="67"/>
      <c r="V12" s="67"/>
      <c r="W12" s="67"/>
      <c r="X12" s="67"/>
      <c r="Y12" s="67"/>
      <c r="Z12" s="67"/>
    </row>
    <row r="13" spans="1:26" ht="13.5" customHeight="1">
      <c r="A13" s="67"/>
      <c r="B13" s="67"/>
      <c r="C13" s="122" t="s">
        <v>545</v>
      </c>
      <c r="D13" s="122" t="s">
        <v>848</v>
      </c>
      <c r="E13" s="123">
        <v>27</v>
      </c>
      <c r="F13" s="123">
        <v>27</v>
      </c>
      <c r="G13" s="123">
        <v>27</v>
      </c>
      <c r="H13" s="123">
        <v>27</v>
      </c>
      <c r="I13" s="123">
        <v>27</v>
      </c>
      <c r="J13" s="123">
        <v>27</v>
      </c>
      <c r="K13" s="123">
        <v>27</v>
      </c>
      <c r="L13" s="123">
        <v>27</v>
      </c>
      <c r="M13" s="123">
        <v>20</v>
      </c>
      <c r="N13" s="123">
        <v>20</v>
      </c>
      <c r="O13" s="123">
        <v>20</v>
      </c>
      <c r="P13" s="123">
        <v>20</v>
      </c>
      <c r="Q13" s="67"/>
      <c r="R13" s="67"/>
      <c r="S13" s="67"/>
      <c r="T13" s="67"/>
      <c r="U13" s="67"/>
      <c r="V13" s="67"/>
      <c r="W13" s="67"/>
      <c r="X13" s="67"/>
      <c r="Y13" s="67"/>
      <c r="Z13" s="67"/>
    </row>
    <row r="14" spans="1:26" ht="13.5" customHeight="1">
      <c r="A14" s="67"/>
      <c r="B14" s="67"/>
      <c r="C14" s="122" t="s">
        <v>810</v>
      </c>
      <c r="D14" s="122" t="s">
        <v>848</v>
      </c>
      <c r="E14" s="123">
        <v>27</v>
      </c>
      <c r="F14" s="123">
        <v>27</v>
      </c>
      <c r="G14" s="123">
        <v>27</v>
      </c>
      <c r="H14" s="123">
        <v>27</v>
      </c>
      <c r="I14" s="123">
        <v>27</v>
      </c>
      <c r="J14" s="123">
        <v>27</v>
      </c>
      <c r="K14" s="123">
        <v>27</v>
      </c>
      <c r="L14" s="123">
        <v>27</v>
      </c>
      <c r="M14" s="123">
        <v>20</v>
      </c>
      <c r="N14" s="123">
        <v>20</v>
      </c>
      <c r="O14" s="123">
        <v>20</v>
      </c>
      <c r="P14" s="123">
        <v>20</v>
      </c>
      <c r="Q14" s="67"/>
      <c r="R14" s="67"/>
      <c r="S14" s="67"/>
      <c r="T14" s="67"/>
      <c r="U14" s="67"/>
      <c r="V14" s="67"/>
      <c r="W14" s="67"/>
      <c r="X14" s="67"/>
      <c r="Y14" s="67"/>
      <c r="Z14" s="67"/>
    </row>
    <row r="15" spans="1:26" ht="13.5" customHeight="1">
      <c r="A15" s="67"/>
      <c r="B15" s="67"/>
      <c r="C15" s="109" t="s">
        <v>849</v>
      </c>
      <c r="D15" s="122"/>
      <c r="E15" s="124">
        <f t="shared" ref="E15:P15" si="0">SUM(E12:E14)</f>
        <v>124</v>
      </c>
      <c r="F15" s="124">
        <f t="shared" si="0"/>
        <v>124</v>
      </c>
      <c r="G15" s="124">
        <f t="shared" si="0"/>
        <v>124</v>
      </c>
      <c r="H15" s="124">
        <f t="shared" si="0"/>
        <v>124</v>
      </c>
      <c r="I15" s="124">
        <f t="shared" si="0"/>
        <v>124</v>
      </c>
      <c r="J15" s="124">
        <f t="shared" si="0"/>
        <v>124</v>
      </c>
      <c r="K15" s="124">
        <f t="shared" si="0"/>
        <v>124</v>
      </c>
      <c r="L15" s="124">
        <f t="shared" si="0"/>
        <v>124</v>
      </c>
      <c r="M15" s="124">
        <f t="shared" si="0"/>
        <v>110</v>
      </c>
      <c r="N15" s="124">
        <f t="shared" si="0"/>
        <v>110</v>
      </c>
      <c r="O15" s="124">
        <f t="shared" si="0"/>
        <v>110</v>
      </c>
      <c r="P15" s="124">
        <f t="shared" si="0"/>
        <v>110</v>
      </c>
      <c r="Q15" s="125">
        <f>SUM(E15:P15)</f>
        <v>1432</v>
      </c>
      <c r="R15" s="704" t="e">
        <f>Q15*'Assumptions TRC_AUN'!$E$33/[2]Setup!$F$49</f>
        <v>#DIV/0!</v>
      </c>
      <c r="S15" s="67"/>
      <c r="T15" s="67"/>
      <c r="U15" s="67"/>
      <c r="V15" s="67"/>
      <c r="W15" s="67"/>
      <c r="X15" s="67"/>
      <c r="Y15" s="67"/>
      <c r="Z15" s="67"/>
    </row>
    <row r="16" spans="1:26" ht="13.5" customHeight="1">
      <c r="A16" s="67"/>
      <c r="B16" s="67"/>
      <c r="C16" s="67"/>
      <c r="D16" s="67"/>
      <c r="E16" s="125"/>
      <c r="F16" s="125"/>
      <c r="G16" s="125"/>
      <c r="H16" s="125"/>
      <c r="I16" s="125"/>
      <c r="J16" s="125"/>
      <c r="K16" s="125"/>
      <c r="L16" s="125"/>
      <c r="M16" s="125"/>
      <c r="N16" s="125"/>
      <c r="O16" s="125"/>
      <c r="P16" s="125"/>
      <c r="Q16" s="67"/>
      <c r="R16" s="67"/>
      <c r="S16" s="67"/>
      <c r="T16" s="67"/>
      <c r="U16" s="67"/>
      <c r="V16" s="67"/>
      <c r="W16" s="67"/>
      <c r="X16" s="67"/>
      <c r="Y16" s="67"/>
      <c r="Z16" s="67"/>
    </row>
    <row r="17" spans="1:26" ht="13.5" customHeight="1">
      <c r="A17" s="67"/>
      <c r="B17" s="67"/>
      <c r="C17" s="67"/>
      <c r="D17" s="67"/>
      <c r="E17" s="125"/>
      <c r="F17" s="125"/>
      <c r="G17" s="125"/>
      <c r="H17" s="125"/>
      <c r="I17" s="125"/>
      <c r="J17" s="125"/>
      <c r="K17" s="125"/>
      <c r="L17" s="125"/>
      <c r="M17" s="125"/>
      <c r="N17" s="125"/>
      <c r="O17" s="125"/>
      <c r="P17" s="125"/>
      <c r="Q17" s="67"/>
      <c r="R17" s="67"/>
      <c r="S17" s="67"/>
      <c r="T17" s="67"/>
      <c r="U17" s="67"/>
      <c r="V17" s="67"/>
      <c r="W17" s="67"/>
      <c r="X17" s="67"/>
      <c r="Y17" s="67"/>
      <c r="Z17" s="67"/>
    </row>
    <row r="18" spans="1:26" ht="13.5" customHeight="1">
      <c r="A18" s="67"/>
      <c r="B18" s="702">
        <v>3</v>
      </c>
      <c r="C18" s="703" t="s">
        <v>850</v>
      </c>
      <c r="D18" s="67"/>
      <c r="E18" s="125"/>
      <c r="F18" s="125"/>
      <c r="G18" s="125"/>
      <c r="H18" s="125"/>
      <c r="I18" s="125"/>
      <c r="J18" s="125"/>
      <c r="K18" s="125"/>
      <c r="L18" s="125"/>
      <c r="M18" s="125"/>
      <c r="N18" s="125"/>
      <c r="O18" s="125"/>
      <c r="P18" s="125"/>
      <c r="Q18" s="67"/>
      <c r="R18" s="67"/>
      <c r="S18" s="67"/>
      <c r="T18" s="67"/>
      <c r="U18" s="67"/>
      <c r="V18" s="67"/>
      <c r="W18" s="67"/>
      <c r="X18" s="67"/>
      <c r="Y18" s="67"/>
      <c r="Z18" s="67"/>
    </row>
    <row r="19" spans="1:26" ht="13.5" customHeight="1">
      <c r="A19" s="67"/>
      <c r="B19" s="67"/>
      <c r="C19" s="122" t="s">
        <v>851</v>
      </c>
      <c r="D19" s="122" t="s">
        <v>848</v>
      </c>
      <c r="E19" s="123">
        <v>70</v>
      </c>
      <c r="F19" s="123">
        <v>70</v>
      </c>
      <c r="G19" s="123">
        <v>70</v>
      </c>
      <c r="H19" s="123">
        <v>70</v>
      </c>
      <c r="I19" s="123">
        <v>70</v>
      </c>
      <c r="J19" s="123">
        <v>70</v>
      </c>
      <c r="K19" s="123">
        <v>70</v>
      </c>
      <c r="L19" s="123">
        <v>70</v>
      </c>
      <c r="M19" s="123">
        <v>70</v>
      </c>
      <c r="N19" s="123">
        <v>70</v>
      </c>
      <c r="O19" s="123">
        <v>70</v>
      </c>
      <c r="P19" s="123">
        <v>70</v>
      </c>
      <c r="Q19" s="67"/>
      <c r="R19" s="67"/>
      <c r="S19" s="67"/>
      <c r="T19" s="67"/>
      <c r="U19" s="67"/>
      <c r="V19" s="67"/>
      <c r="W19" s="67"/>
      <c r="X19" s="67"/>
      <c r="Y19" s="67"/>
      <c r="Z19" s="67"/>
    </row>
    <row r="20" spans="1:26" ht="13.5" customHeight="1">
      <c r="A20" s="67"/>
      <c r="B20" s="67"/>
      <c r="C20" s="122" t="s">
        <v>852</v>
      </c>
      <c r="D20" s="122" t="s">
        <v>848</v>
      </c>
      <c r="E20" s="123">
        <v>28</v>
      </c>
      <c r="F20" s="123">
        <v>28</v>
      </c>
      <c r="G20" s="123">
        <v>28</v>
      </c>
      <c r="H20" s="123">
        <v>28</v>
      </c>
      <c r="I20" s="123">
        <v>28</v>
      </c>
      <c r="J20" s="123">
        <v>28</v>
      </c>
      <c r="K20" s="123">
        <v>28</v>
      </c>
      <c r="L20" s="123">
        <v>28</v>
      </c>
      <c r="M20" s="123">
        <v>28</v>
      </c>
      <c r="N20" s="123">
        <v>28</v>
      </c>
      <c r="O20" s="123">
        <v>28</v>
      </c>
      <c r="P20" s="123">
        <v>28</v>
      </c>
      <c r="Q20" s="67"/>
      <c r="R20" s="67"/>
      <c r="S20" s="67"/>
      <c r="T20" s="67"/>
      <c r="U20" s="67"/>
      <c r="V20" s="67"/>
      <c r="W20" s="67"/>
      <c r="X20" s="67"/>
      <c r="Y20" s="67"/>
      <c r="Z20" s="67"/>
    </row>
    <row r="21" spans="1:26" ht="13.5" customHeight="1">
      <c r="A21" s="67"/>
      <c r="B21" s="67"/>
      <c r="C21" s="109" t="s">
        <v>849</v>
      </c>
      <c r="D21" s="122"/>
      <c r="E21" s="124">
        <f t="shared" ref="E21:P21" si="1">SUM(E19:E20)</f>
        <v>98</v>
      </c>
      <c r="F21" s="124">
        <f t="shared" si="1"/>
        <v>98</v>
      </c>
      <c r="G21" s="124">
        <f t="shared" si="1"/>
        <v>98</v>
      </c>
      <c r="H21" s="124">
        <f t="shared" si="1"/>
        <v>98</v>
      </c>
      <c r="I21" s="124">
        <f t="shared" si="1"/>
        <v>98</v>
      </c>
      <c r="J21" s="124">
        <f t="shared" si="1"/>
        <v>98</v>
      </c>
      <c r="K21" s="124">
        <f t="shared" si="1"/>
        <v>98</v>
      </c>
      <c r="L21" s="124">
        <f t="shared" si="1"/>
        <v>98</v>
      </c>
      <c r="M21" s="124">
        <f t="shared" si="1"/>
        <v>98</v>
      </c>
      <c r="N21" s="124">
        <f t="shared" si="1"/>
        <v>98</v>
      </c>
      <c r="O21" s="124">
        <f t="shared" si="1"/>
        <v>98</v>
      </c>
      <c r="P21" s="124">
        <f t="shared" si="1"/>
        <v>98</v>
      </c>
      <c r="Q21" s="125">
        <f>SUM(E21:P21)</f>
        <v>1176</v>
      </c>
      <c r="R21" s="704" t="e">
        <f>Q21*'Assumptions TRC_AUN'!$E$33/[2]Setup!$F$49</f>
        <v>#DIV/0!</v>
      </c>
      <c r="S21" s="67"/>
      <c r="T21" s="67"/>
      <c r="U21" s="67"/>
      <c r="V21" s="67"/>
      <c r="W21" s="67"/>
      <c r="X21" s="67"/>
      <c r="Y21" s="67"/>
      <c r="Z21" s="67"/>
    </row>
    <row r="22" spans="1:26" ht="13.5" customHeight="1">
      <c r="A22" s="67"/>
      <c r="B22" s="67"/>
      <c r="C22" s="67"/>
      <c r="D22" s="67"/>
      <c r="E22" s="125"/>
      <c r="F22" s="125"/>
      <c r="G22" s="125"/>
      <c r="H22" s="125"/>
      <c r="I22" s="125"/>
      <c r="J22" s="125"/>
      <c r="K22" s="125"/>
      <c r="L22" s="125"/>
      <c r="M22" s="125"/>
      <c r="N22" s="125"/>
      <c r="O22" s="125"/>
      <c r="P22" s="125"/>
      <c r="Q22" s="67"/>
      <c r="R22" s="67"/>
      <c r="S22" s="67"/>
      <c r="T22" s="67"/>
      <c r="U22" s="67"/>
      <c r="V22" s="67"/>
      <c r="W22" s="67"/>
      <c r="X22" s="67"/>
      <c r="Y22" s="67"/>
      <c r="Z22" s="67"/>
    </row>
    <row r="23" spans="1:26" ht="13.5" customHeight="1">
      <c r="A23" s="67"/>
      <c r="B23" s="67"/>
      <c r="C23" s="67"/>
      <c r="D23" s="67"/>
      <c r="E23" s="125"/>
      <c r="F23" s="125"/>
      <c r="G23" s="125"/>
      <c r="H23" s="125"/>
      <c r="I23" s="125"/>
      <c r="J23" s="125"/>
      <c r="K23" s="125"/>
      <c r="L23" s="125"/>
      <c r="M23" s="125"/>
      <c r="N23" s="125"/>
      <c r="O23" s="125"/>
      <c r="P23" s="125"/>
      <c r="Q23" s="67"/>
      <c r="R23" s="67"/>
      <c r="S23" s="67"/>
      <c r="T23" s="67"/>
      <c r="U23" s="67"/>
      <c r="V23" s="67"/>
      <c r="W23" s="67"/>
      <c r="X23" s="67"/>
      <c r="Y23" s="67"/>
      <c r="Z23" s="67"/>
    </row>
    <row r="24" spans="1:26" ht="13.5" customHeight="1">
      <c r="A24" s="67"/>
      <c r="B24" s="702">
        <v>4</v>
      </c>
      <c r="C24" s="703" t="s">
        <v>550</v>
      </c>
      <c r="D24" s="67"/>
      <c r="E24" s="125"/>
      <c r="F24" s="125"/>
      <c r="G24" s="125"/>
      <c r="H24" s="125"/>
      <c r="I24" s="125"/>
      <c r="J24" s="125"/>
      <c r="K24" s="125"/>
      <c r="L24" s="125"/>
      <c r="M24" s="125"/>
      <c r="N24" s="125"/>
      <c r="O24" s="125"/>
      <c r="P24" s="125"/>
      <c r="Q24" s="67"/>
      <c r="R24" s="67"/>
      <c r="S24" s="67"/>
      <c r="T24" s="67"/>
      <c r="U24" s="67"/>
      <c r="V24" s="67"/>
      <c r="W24" s="67"/>
      <c r="X24" s="67"/>
      <c r="Y24" s="67"/>
      <c r="Z24" s="67"/>
    </row>
    <row r="25" spans="1:26" ht="13.5" customHeight="1">
      <c r="A25" s="67"/>
      <c r="B25" s="67"/>
      <c r="C25" s="122" t="s">
        <v>853</v>
      </c>
      <c r="D25" s="122" t="s">
        <v>848</v>
      </c>
      <c r="E25" s="123">
        <v>80</v>
      </c>
      <c r="F25" s="123">
        <v>80</v>
      </c>
      <c r="G25" s="123">
        <v>80</v>
      </c>
      <c r="H25" s="123"/>
      <c r="I25" s="123"/>
      <c r="J25" s="123"/>
      <c r="K25" s="123"/>
      <c r="L25" s="123"/>
      <c r="M25" s="123"/>
      <c r="N25" s="123" t="s">
        <v>854</v>
      </c>
      <c r="O25" s="123"/>
      <c r="P25" s="123"/>
      <c r="Q25" s="67" t="s">
        <v>854</v>
      </c>
      <c r="R25" s="67"/>
      <c r="S25" s="67"/>
      <c r="T25" s="67"/>
      <c r="U25" s="67"/>
      <c r="V25" s="67"/>
      <c r="W25" s="67"/>
      <c r="X25" s="67"/>
      <c r="Y25" s="67"/>
      <c r="Z25" s="67"/>
    </row>
    <row r="26" spans="1:26" ht="13.5" customHeight="1">
      <c r="A26" s="67"/>
      <c r="B26" s="67"/>
      <c r="C26" s="122" t="s">
        <v>855</v>
      </c>
      <c r="D26" s="122" t="s">
        <v>848</v>
      </c>
      <c r="E26" s="123"/>
      <c r="F26" s="123"/>
      <c r="G26" s="123"/>
      <c r="H26" s="123">
        <v>55</v>
      </c>
      <c r="I26" s="123">
        <v>55</v>
      </c>
      <c r="J26" s="123">
        <v>55</v>
      </c>
      <c r="K26" s="123">
        <v>55</v>
      </c>
      <c r="L26" s="123">
        <v>55</v>
      </c>
      <c r="M26" s="123">
        <v>55</v>
      </c>
      <c r="N26" s="123">
        <v>55</v>
      </c>
      <c r="O26" s="123">
        <v>55</v>
      </c>
      <c r="P26" s="123">
        <v>55</v>
      </c>
      <c r="Q26" s="67"/>
      <c r="R26" s="67"/>
      <c r="S26" s="67"/>
      <c r="T26" s="67"/>
      <c r="U26" s="67"/>
      <c r="V26" s="67"/>
      <c r="W26" s="67"/>
      <c r="X26" s="67"/>
      <c r="Y26" s="67"/>
      <c r="Z26" s="67"/>
    </row>
    <row r="27" spans="1:26" ht="13.5" customHeight="1">
      <c r="A27" s="67"/>
      <c r="B27" s="67"/>
      <c r="C27" s="122" t="s">
        <v>622</v>
      </c>
      <c r="D27" s="122" t="s">
        <v>848</v>
      </c>
      <c r="E27" s="123">
        <v>220</v>
      </c>
      <c r="F27" s="123">
        <v>220</v>
      </c>
      <c r="G27" s="123">
        <v>220</v>
      </c>
      <c r="H27" s="123">
        <v>220</v>
      </c>
      <c r="I27" s="123">
        <v>170</v>
      </c>
      <c r="J27" s="123">
        <v>170</v>
      </c>
      <c r="K27" s="123">
        <v>170</v>
      </c>
      <c r="L27" s="123">
        <v>170</v>
      </c>
      <c r="M27" s="123">
        <v>120</v>
      </c>
      <c r="N27" s="123">
        <v>120</v>
      </c>
      <c r="O27" s="123">
        <v>120</v>
      </c>
      <c r="P27" s="123">
        <v>120</v>
      </c>
      <c r="Q27" s="67"/>
      <c r="R27" s="67"/>
      <c r="S27" s="67"/>
      <c r="T27" s="67"/>
      <c r="U27" s="67"/>
      <c r="V27" s="67"/>
      <c r="W27" s="67"/>
      <c r="X27" s="67"/>
      <c r="Y27" s="67"/>
      <c r="Z27" s="67"/>
    </row>
    <row r="28" spans="1:26" ht="13.5" customHeight="1">
      <c r="A28" s="67"/>
      <c r="B28" s="122" t="s">
        <v>856</v>
      </c>
      <c r="C28" s="126" t="s">
        <v>857</v>
      </c>
      <c r="D28" s="122" t="s">
        <v>848</v>
      </c>
      <c r="E28" s="123"/>
      <c r="F28" s="123">
        <v>12</v>
      </c>
      <c r="G28" s="123">
        <v>12</v>
      </c>
      <c r="H28" s="123">
        <v>12</v>
      </c>
      <c r="I28" s="123">
        <v>12</v>
      </c>
      <c r="J28" s="123">
        <v>12</v>
      </c>
      <c r="K28" s="123">
        <v>12</v>
      </c>
      <c r="L28" s="123">
        <v>12</v>
      </c>
      <c r="M28" s="123">
        <v>12</v>
      </c>
      <c r="N28" s="123">
        <v>12</v>
      </c>
      <c r="O28" s="123">
        <v>12</v>
      </c>
      <c r="P28" s="123">
        <v>12</v>
      </c>
      <c r="Q28" s="125"/>
      <c r="R28" s="67"/>
      <c r="S28" s="67"/>
      <c r="T28" s="67"/>
      <c r="U28" s="67"/>
      <c r="V28" s="67"/>
      <c r="W28" s="67"/>
      <c r="X28" s="67"/>
      <c r="Y28" s="67"/>
      <c r="Z28" s="67"/>
    </row>
    <row r="29" spans="1:26" ht="13.5" customHeight="1">
      <c r="A29" s="67"/>
      <c r="B29" s="122" t="s">
        <v>856</v>
      </c>
      <c r="C29" s="126" t="s">
        <v>858</v>
      </c>
      <c r="D29" s="122" t="s">
        <v>848</v>
      </c>
      <c r="E29" s="123"/>
      <c r="F29" s="123">
        <v>30</v>
      </c>
      <c r="G29" s="123">
        <v>30</v>
      </c>
      <c r="H29" s="123">
        <v>30</v>
      </c>
      <c r="I29" s="123">
        <v>30</v>
      </c>
      <c r="J29" s="123">
        <v>30</v>
      </c>
      <c r="K29" s="123">
        <v>30</v>
      </c>
      <c r="L29" s="123">
        <v>30</v>
      </c>
      <c r="M29" s="123">
        <v>30</v>
      </c>
      <c r="N29" s="123">
        <v>30</v>
      </c>
      <c r="O29" s="123">
        <v>30</v>
      </c>
      <c r="P29" s="123">
        <v>30</v>
      </c>
      <c r="Q29" s="125"/>
      <c r="R29" s="67"/>
      <c r="S29" s="67"/>
      <c r="T29" s="67"/>
      <c r="U29" s="67"/>
      <c r="V29" s="67"/>
      <c r="W29" s="67"/>
      <c r="X29" s="67"/>
      <c r="Y29" s="67"/>
      <c r="Z29" s="67"/>
    </row>
    <row r="30" spans="1:26" ht="13.5" customHeight="1">
      <c r="A30" s="67"/>
      <c r="B30" s="122" t="s">
        <v>856</v>
      </c>
      <c r="C30" s="126" t="s">
        <v>859</v>
      </c>
      <c r="D30" s="122" t="s">
        <v>848</v>
      </c>
      <c r="E30" s="123"/>
      <c r="F30" s="123">
        <f t="shared" ref="F30:H30" si="2">7*3*6</f>
        <v>126</v>
      </c>
      <c r="G30" s="123">
        <f t="shared" si="2"/>
        <v>126</v>
      </c>
      <c r="H30" s="123">
        <f t="shared" si="2"/>
        <v>126</v>
      </c>
      <c r="I30" s="123">
        <f t="shared" ref="I30:L30" si="3">7*3*5</f>
        <v>105</v>
      </c>
      <c r="J30" s="123">
        <f t="shared" si="3"/>
        <v>105</v>
      </c>
      <c r="K30" s="123">
        <f t="shared" si="3"/>
        <v>105</v>
      </c>
      <c r="L30" s="123">
        <f t="shared" si="3"/>
        <v>105</v>
      </c>
      <c r="M30" s="123">
        <f t="shared" ref="M30:P30" si="4">7*3*4</f>
        <v>84</v>
      </c>
      <c r="N30" s="123">
        <f t="shared" si="4"/>
        <v>84</v>
      </c>
      <c r="O30" s="123">
        <f t="shared" si="4"/>
        <v>84</v>
      </c>
      <c r="P30" s="123">
        <f t="shared" si="4"/>
        <v>84</v>
      </c>
      <c r="Q30" s="125"/>
      <c r="R30" s="67"/>
      <c r="S30" s="67"/>
      <c r="T30" s="67"/>
      <c r="U30" s="67"/>
      <c r="V30" s="67"/>
      <c r="W30" s="67"/>
      <c r="X30" s="67"/>
      <c r="Y30" s="67"/>
      <c r="Z30" s="67"/>
    </row>
    <row r="31" spans="1:26" ht="13.5" customHeight="1">
      <c r="A31" s="67"/>
      <c r="B31" s="122" t="s">
        <v>856</v>
      </c>
      <c r="C31" s="126" t="s">
        <v>860</v>
      </c>
      <c r="D31" s="122" t="s">
        <v>848</v>
      </c>
      <c r="E31" s="123"/>
      <c r="F31" s="123">
        <v>20</v>
      </c>
      <c r="G31" s="123">
        <v>20</v>
      </c>
      <c r="H31" s="123">
        <v>20</v>
      </c>
      <c r="I31" s="123"/>
      <c r="J31" s="123"/>
      <c r="K31" s="123"/>
      <c r="L31" s="123"/>
      <c r="M31" s="123"/>
      <c r="N31" s="123"/>
      <c r="O31" s="123"/>
      <c r="P31" s="123"/>
      <c r="Q31" s="125"/>
      <c r="R31" s="67"/>
      <c r="S31" s="67"/>
      <c r="T31" s="67"/>
      <c r="U31" s="67"/>
      <c r="V31" s="67"/>
      <c r="W31" s="67"/>
      <c r="X31" s="67"/>
      <c r="Y31" s="67"/>
      <c r="Z31" s="67"/>
    </row>
    <row r="32" spans="1:26" ht="13.5" customHeight="1">
      <c r="A32" s="67"/>
      <c r="B32" s="122" t="s">
        <v>856</v>
      </c>
      <c r="C32" s="126" t="s">
        <v>861</v>
      </c>
      <c r="D32" s="122" t="s">
        <v>848</v>
      </c>
      <c r="E32" s="123"/>
      <c r="F32" s="123"/>
      <c r="G32" s="123"/>
      <c r="H32" s="123">
        <f>6*6</f>
        <v>36</v>
      </c>
      <c r="I32" s="123">
        <f>6*12</f>
        <v>72</v>
      </c>
      <c r="J32" s="123">
        <f t="shared" ref="J32:P32" si="5">6*24</f>
        <v>144</v>
      </c>
      <c r="K32" s="123">
        <f t="shared" si="5"/>
        <v>144</v>
      </c>
      <c r="L32" s="123">
        <f t="shared" si="5"/>
        <v>144</v>
      </c>
      <c r="M32" s="123">
        <f t="shared" si="5"/>
        <v>144</v>
      </c>
      <c r="N32" s="123">
        <f t="shared" si="5"/>
        <v>144</v>
      </c>
      <c r="O32" s="123">
        <f t="shared" si="5"/>
        <v>144</v>
      </c>
      <c r="P32" s="123">
        <f t="shared" si="5"/>
        <v>144</v>
      </c>
      <c r="Q32" s="125"/>
      <c r="R32" s="67"/>
      <c r="S32" s="67"/>
      <c r="T32" s="67"/>
      <c r="U32" s="67"/>
      <c r="V32" s="67"/>
      <c r="W32" s="67"/>
      <c r="X32" s="67"/>
      <c r="Y32" s="67"/>
      <c r="Z32" s="67"/>
    </row>
    <row r="33" spans="1:26" ht="13.5" customHeight="1">
      <c r="A33" s="67"/>
      <c r="B33" s="122" t="s">
        <v>856</v>
      </c>
      <c r="C33" s="126" t="s">
        <v>862</v>
      </c>
      <c r="D33" s="122" t="s">
        <v>848</v>
      </c>
      <c r="E33" s="123"/>
      <c r="F33" s="123"/>
      <c r="G33" s="123">
        <v>100</v>
      </c>
      <c r="H33" s="123">
        <v>110</v>
      </c>
      <c r="I33" s="123"/>
      <c r="J33" s="123"/>
      <c r="K33" s="123">
        <v>100</v>
      </c>
      <c r="L33" s="123">
        <v>110</v>
      </c>
      <c r="M33" s="123"/>
      <c r="N33" s="123"/>
      <c r="O33" s="123">
        <v>100</v>
      </c>
      <c r="P33" s="123">
        <v>110</v>
      </c>
      <c r="Q33" s="125"/>
      <c r="R33" s="67"/>
      <c r="S33" s="67"/>
      <c r="T33" s="67"/>
      <c r="U33" s="67"/>
      <c r="V33" s="67"/>
      <c r="W33" s="67"/>
      <c r="X33" s="67"/>
      <c r="Y33" s="67"/>
      <c r="Z33" s="67"/>
    </row>
    <row r="34" spans="1:26" ht="13.5" customHeight="1">
      <c r="A34" s="67"/>
      <c r="B34" s="67"/>
      <c r="C34" s="109" t="s">
        <v>849</v>
      </c>
      <c r="D34" s="122"/>
      <c r="E34" s="124">
        <f t="shared" ref="E34:P34" si="6">SUM(E25:E33)</f>
        <v>300</v>
      </c>
      <c r="F34" s="124">
        <f t="shared" si="6"/>
        <v>488</v>
      </c>
      <c r="G34" s="124">
        <f t="shared" si="6"/>
        <v>588</v>
      </c>
      <c r="H34" s="124">
        <f t="shared" si="6"/>
        <v>609</v>
      </c>
      <c r="I34" s="124">
        <f t="shared" si="6"/>
        <v>444</v>
      </c>
      <c r="J34" s="124">
        <f t="shared" si="6"/>
        <v>516</v>
      </c>
      <c r="K34" s="124">
        <f t="shared" si="6"/>
        <v>616</v>
      </c>
      <c r="L34" s="124">
        <f t="shared" si="6"/>
        <v>626</v>
      </c>
      <c r="M34" s="124">
        <f t="shared" si="6"/>
        <v>445</v>
      </c>
      <c r="N34" s="124">
        <f t="shared" si="6"/>
        <v>445</v>
      </c>
      <c r="O34" s="124">
        <f t="shared" si="6"/>
        <v>545</v>
      </c>
      <c r="P34" s="124">
        <f t="shared" si="6"/>
        <v>555</v>
      </c>
      <c r="Q34" s="125">
        <f>SUM(E34:P34)</f>
        <v>6177</v>
      </c>
      <c r="R34" s="704" t="e">
        <f>Q34*'Assumptions TRC_AUN'!$E$33/[2]Setup!$F$49</f>
        <v>#DIV/0!</v>
      </c>
      <c r="S34" s="67"/>
      <c r="T34" s="67"/>
      <c r="U34" s="67"/>
      <c r="V34" s="67"/>
      <c r="W34" s="67"/>
      <c r="X34" s="67"/>
      <c r="Y34" s="67"/>
      <c r="Z34" s="67"/>
    </row>
    <row r="35" spans="1:26" ht="13.5" customHeight="1">
      <c r="A35" s="67"/>
      <c r="B35" s="67"/>
      <c r="C35" s="67"/>
      <c r="D35" s="67"/>
      <c r="E35" s="125"/>
      <c r="F35" s="125"/>
      <c r="G35" s="125"/>
      <c r="H35" s="125"/>
      <c r="I35" s="125"/>
      <c r="J35" s="125"/>
      <c r="K35" s="125"/>
      <c r="L35" s="125"/>
      <c r="M35" s="125"/>
      <c r="N35" s="125"/>
      <c r="O35" s="125"/>
      <c r="P35" s="125"/>
      <c r="Q35" s="125"/>
      <c r="R35" s="67"/>
      <c r="S35" s="67"/>
      <c r="T35" s="67"/>
      <c r="U35" s="67"/>
      <c r="V35" s="67"/>
      <c r="W35" s="67"/>
      <c r="X35" s="67"/>
      <c r="Y35" s="67"/>
      <c r="Z35" s="67"/>
    </row>
    <row r="36" spans="1:26" ht="13.5" customHeight="1">
      <c r="A36" s="67"/>
      <c r="B36" s="67"/>
      <c r="C36" s="67"/>
      <c r="D36" s="67"/>
      <c r="E36" s="125"/>
      <c r="F36" s="125"/>
      <c r="G36" s="125"/>
      <c r="H36" s="125"/>
      <c r="I36" s="125"/>
      <c r="J36" s="125"/>
      <c r="K36" s="125"/>
      <c r="L36" s="125"/>
      <c r="M36" s="125"/>
      <c r="N36" s="125"/>
      <c r="O36" s="125"/>
      <c r="P36" s="125"/>
      <c r="Q36" s="67"/>
      <c r="R36" s="67"/>
      <c r="S36" s="67"/>
      <c r="T36" s="67"/>
      <c r="U36" s="67"/>
      <c r="V36" s="67"/>
      <c r="W36" s="67"/>
      <c r="X36" s="67"/>
      <c r="Y36" s="67"/>
      <c r="Z36" s="67"/>
    </row>
    <row r="37" spans="1:26" ht="13.5" customHeight="1">
      <c r="A37" s="67"/>
      <c r="B37" s="702">
        <v>5</v>
      </c>
      <c r="C37" s="703" t="s">
        <v>863</v>
      </c>
      <c r="D37" s="67"/>
      <c r="E37" s="125"/>
      <c r="F37" s="125"/>
      <c r="G37" s="125"/>
      <c r="H37" s="125"/>
      <c r="I37" s="125"/>
      <c r="J37" s="125"/>
      <c r="K37" s="125"/>
      <c r="L37" s="125"/>
      <c r="M37" s="125"/>
      <c r="N37" s="125"/>
      <c r="O37" s="125"/>
      <c r="P37" s="125"/>
      <c r="Q37" s="67"/>
      <c r="R37" s="67"/>
      <c r="S37" s="67"/>
      <c r="T37" s="67"/>
      <c r="U37" s="67"/>
      <c r="V37" s="67"/>
      <c r="W37" s="67"/>
      <c r="X37" s="67"/>
      <c r="Y37" s="67"/>
      <c r="Z37" s="67"/>
    </row>
    <row r="38" spans="1:26" ht="13.5" customHeight="1">
      <c r="A38" s="67"/>
      <c r="B38" s="67"/>
      <c r="C38" s="122" t="s">
        <v>864</v>
      </c>
      <c r="D38" s="122" t="s">
        <v>848</v>
      </c>
      <c r="E38" s="123">
        <v>420</v>
      </c>
      <c r="F38" s="123">
        <v>420</v>
      </c>
      <c r="G38" s="123">
        <v>310</v>
      </c>
      <c r="H38" s="123">
        <v>310</v>
      </c>
      <c r="I38" s="127">
        <f t="shared" ref="I38:L38" si="7">310+435</f>
        <v>745</v>
      </c>
      <c r="J38" s="127">
        <f t="shared" si="7"/>
        <v>745</v>
      </c>
      <c r="K38" s="127">
        <f t="shared" si="7"/>
        <v>745</v>
      </c>
      <c r="L38" s="127">
        <f t="shared" si="7"/>
        <v>745</v>
      </c>
      <c r="M38" s="123"/>
      <c r="N38" s="123"/>
      <c r="O38" s="123"/>
      <c r="P38" s="123"/>
      <c r="Q38" s="67"/>
      <c r="R38" s="67"/>
      <c r="S38" s="67"/>
      <c r="T38" s="67"/>
      <c r="U38" s="67"/>
      <c r="V38" s="67"/>
      <c r="W38" s="67"/>
      <c r="X38" s="67"/>
      <c r="Y38" s="67"/>
      <c r="Z38" s="67"/>
    </row>
    <row r="39" spans="1:26" ht="13.5" customHeight="1">
      <c r="A39" s="67"/>
      <c r="B39" s="67"/>
      <c r="C39" s="122" t="s">
        <v>865</v>
      </c>
      <c r="D39" s="122" t="s">
        <v>848</v>
      </c>
      <c r="E39" s="123">
        <v>55</v>
      </c>
      <c r="F39" s="123">
        <v>55</v>
      </c>
      <c r="G39" s="123">
        <v>55</v>
      </c>
      <c r="H39" s="123">
        <v>55</v>
      </c>
      <c r="I39" s="123">
        <v>75</v>
      </c>
      <c r="J39" s="123">
        <v>75</v>
      </c>
      <c r="K39" s="123">
        <v>75</v>
      </c>
      <c r="L39" s="123">
        <v>75</v>
      </c>
      <c r="M39" s="123">
        <v>120</v>
      </c>
      <c r="N39" s="123">
        <v>120</v>
      </c>
      <c r="O39" s="123">
        <v>120</v>
      </c>
      <c r="P39" s="123">
        <v>120</v>
      </c>
      <c r="Q39" s="67"/>
      <c r="R39" s="67"/>
      <c r="S39" s="67"/>
      <c r="T39" s="67"/>
      <c r="U39" s="67"/>
      <c r="V39" s="67"/>
      <c r="W39" s="67"/>
      <c r="X39" s="67"/>
      <c r="Y39" s="67"/>
      <c r="Z39" s="67"/>
    </row>
    <row r="40" spans="1:26" ht="13.5" customHeight="1">
      <c r="A40" s="67"/>
      <c r="B40" s="67"/>
      <c r="C40" s="122" t="s">
        <v>865</v>
      </c>
      <c r="D40" s="122" t="s">
        <v>848</v>
      </c>
      <c r="E40" s="123">
        <v>8</v>
      </c>
      <c r="F40" s="123">
        <v>8</v>
      </c>
      <c r="G40" s="123">
        <v>8</v>
      </c>
      <c r="H40" s="123">
        <v>8</v>
      </c>
      <c r="I40" s="123">
        <v>12</v>
      </c>
      <c r="J40" s="123">
        <v>12</v>
      </c>
      <c r="K40" s="123">
        <v>12</v>
      </c>
      <c r="L40" s="123">
        <v>12</v>
      </c>
      <c r="M40" s="123">
        <v>16</v>
      </c>
      <c r="N40" s="123">
        <v>16</v>
      </c>
      <c r="O40" s="123">
        <v>16</v>
      </c>
      <c r="P40" s="123">
        <v>16</v>
      </c>
      <c r="Q40" s="67"/>
      <c r="R40" s="67"/>
      <c r="S40" s="67"/>
      <c r="T40" s="67"/>
      <c r="U40" s="67"/>
      <c r="V40" s="67"/>
      <c r="W40" s="67"/>
      <c r="X40" s="67"/>
      <c r="Y40" s="67"/>
      <c r="Z40" s="67"/>
    </row>
    <row r="41" spans="1:26" ht="13.5" customHeight="1">
      <c r="A41" s="67"/>
      <c r="B41" s="67"/>
      <c r="C41" s="122" t="s">
        <v>865</v>
      </c>
      <c r="D41" s="122" t="s">
        <v>848</v>
      </c>
      <c r="E41" s="123">
        <v>10</v>
      </c>
      <c r="F41" s="123">
        <v>10</v>
      </c>
      <c r="G41" s="123">
        <v>10</v>
      </c>
      <c r="H41" s="123">
        <v>10</v>
      </c>
      <c r="I41" s="123">
        <v>15</v>
      </c>
      <c r="J41" s="123">
        <v>15</v>
      </c>
      <c r="K41" s="123">
        <v>15</v>
      </c>
      <c r="L41" s="123">
        <v>15</v>
      </c>
      <c r="M41" s="123">
        <v>20</v>
      </c>
      <c r="N41" s="123">
        <v>20</v>
      </c>
      <c r="O41" s="123">
        <v>20</v>
      </c>
      <c r="P41" s="123">
        <v>20</v>
      </c>
      <c r="Q41" s="67"/>
      <c r="R41" s="67"/>
      <c r="S41" s="67"/>
      <c r="T41" s="67"/>
      <c r="U41" s="67"/>
      <c r="V41" s="67"/>
      <c r="W41" s="67"/>
      <c r="X41" s="67"/>
      <c r="Y41" s="67"/>
      <c r="Z41" s="67"/>
    </row>
    <row r="42" spans="1:26" ht="13.5" customHeight="1">
      <c r="A42" s="67"/>
      <c r="B42" s="67"/>
      <c r="C42" s="122" t="s">
        <v>865</v>
      </c>
      <c r="D42" s="122" t="s">
        <v>848</v>
      </c>
      <c r="E42" s="123">
        <v>0</v>
      </c>
      <c r="F42" s="123">
        <v>0</v>
      </c>
      <c r="G42" s="123">
        <v>0</v>
      </c>
      <c r="H42" s="123">
        <v>0</v>
      </c>
      <c r="I42" s="123">
        <v>0</v>
      </c>
      <c r="J42" s="123">
        <v>0</v>
      </c>
      <c r="K42" s="123">
        <v>0</v>
      </c>
      <c r="L42" s="123">
        <v>0</v>
      </c>
      <c r="M42" s="123">
        <v>25</v>
      </c>
      <c r="N42" s="123">
        <v>25</v>
      </c>
      <c r="O42" s="123">
        <v>25</v>
      </c>
      <c r="P42" s="123">
        <v>25</v>
      </c>
      <c r="Q42" s="67"/>
      <c r="R42" s="67"/>
      <c r="S42" s="67"/>
      <c r="T42" s="67"/>
      <c r="U42" s="67"/>
      <c r="V42" s="67"/>
      <c r="W42" s="67"/>
      <c r="X42" s="67"/>
      <c r="Y42" s="67"/>
      <c r="Z42" s="67"/>
    </row>
    <row r="43" spans="1:26" ht="13.5" customHeight="1">
      <c r="A43" s="67"/>
      <c r="B43" s="67"/>
      <c r="C43" s="109" t="s">
        <v>849</v>
      </c>
      <c r="D43" s="122"/>
      <c r="E43" s="124">
        <f t="shared" ref="E43:P43" si="8">SUM(E38:E42)</f>
        <v>493</v>
      </c>
      <c r="F43" s="124">
        <f t="shared" si="8"/>
        <v>493</v>
      </c>
      <c r="G43" s="124">
        <f t="shared" si="8"/>
        <v>383</v>
      </c>
      <c r="H43" s="124">
        <f t="shared" si="8"/>
        <v>383</v>
      </c>
      <c r="I43" s="124">
        <f t="shared" si="8"/>
        <v>847</v>
      </c>
      <c r="J43" s="124">
        <f t="shared" si="8"/>
        <v>847</v>
      </c>
      <c r="K43" s="124">
        <f t="shared" si="8"/>
        <v>847</v>
      </c>
      <c r="L43" s="124">
        <f t="shared" si="8"/>
        <v>847</v>
      </c>
      <c r="M43" s="124">
        <f t="shared" si="8"/>
        <v>181</v>
      </c>
      <c r="N43" s="124">
        <f t="shared" si="8"/>
        <v>181</v>
      </c>
      <c r="O43" s="124">
        <f t="shared" si="8"/>
        <v>181</v>
      </c>
      <c r="P43" s="124">
        <f t="shared" si="8"/>
        <v>181</v>
      </c>
      <c r="Q43" s="125">
        <f>SUM(E43:P43)</f>
        <v>5864</v>
      </c>
      <c r="R43" s="704" t="e">
        <f>Q43*'Assumptions TRC_AUN'!$E$33/[2]Setup!$F$49</f>
        <v>#DIV/0!</v>
      </c>
      <c r="S43" s="67"/>
      <c r="T43" s="67"/>
      <c r="U43" s="67"/>
      <c r="V43" s="67"/>
      <c r="W43" s="67"/>
      <c r="X43" s="67"/>
      <c r="Y43" s="67"/>
      <c r="Z43" s="67"/>
    </row>
    <row r="44" spans="1:26" ht="13.5" customHeight="1">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ht="13.5" customHeight="1">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ht="13.5" customHeight="1">
      <c r="A46" s="67"/>
      <c r="B46" s="702">
        <v>6</v>
      </c>
      <c r="C46" s="703" t="s">
        <v>866</v>
      </c>
      <c r="D46" s="67"/>
      <c r="E46" s="67"/>
      <c r="F46" s="67"/>
      <c r="G46" s="67"/>
      <c r="H46" s="67"/>
      <c r="I46" s="67"/>
      <c r="J46" s="67"/>
      <c r="K46" s="67"/>
      <c r="L46" s="67"/>
      <c r="M46" s="67"/>
      <c r="N46" s="67"/>
      <c r="O46" s="67"/>
      <c r="P46" s="67"/>
      <c r="Q46" s="67"/>
      <c r="R46" s="67"/>
      <c r="S46" s="67"/>
      <c r="T46" s="67"/>
      <c r="U46" s="67"/>
      <c r="V46" s="67"/>
      <c r="W46" s="67"/>
      <c r="X46" s="67"/>
      <c r="Y46" s="67"/>
      <c r="Z46" s="67"/>
    </row>
    <row r="47" spans="1:26" ht="13.5" customHeight="1">
      <c r="A47" s="67"/>
      <c r="B47" s="67"/>
      <c r="C47" s="122" t="s">
        <v>815</v>
      </c>
      <c r="D47" s="122" t="s">
        <v>848</v>
      </c>
      <c r="E47" s="123">
        <v>25</v>
      </c>
      <c r="F47" s="123">
        <v>25</v>
      </c>
      <c r="G47" s="123">
        <v>25</v>
      </c>
      <c r="H47" s="123">
        <v>25</v>
      </c>
      <c r="I47" s="123">
        <v>25</v>
      </c>
      <c r="J47" s="123">
        <v>25</v>
      </c>
      <c r="K47" s="123">
        <v>25</v>
      </c>
      <c r="L47" s="123">
        <v>25</v>
      </c>
      <c r="M47" s="123">
        <v>25</v>
      </c>
      <c r="N47" s="123">
        <v>25</v>
      </c>
      <c r="O47" s="123">
        <v>25</v>
      </c>
      <c r="P47" s="123">
        <v>25</v>
      </c>
      <c r="Q47" s="67"/>
      <c r="R47" s="67"/>
      <c r="S47" s="67"/>
      <c r="T47" s="67"/>
      <c r="U47" s="67"/>
      <c r="V47" s="67"/>
      <c r="W47" s="67"/>
      <c r="X47" s="67"/>
      <c r="Y47" s="67"/>
      <c r="Z47" s="67"/>
    </row>
    <row r="48" spans="1:26" ht="13.5" customHeight="1">
      <c r="A48" s="67"/>
      <c r="B48" s="67"/>
      <c r="C48" s="122" t="s">
        <v>816</v>
      </c>
      <c r="D48" s="122" t="s">
        <v>848</v>
      </c>
      <c r="E48" s="123">
        <v>15</v>
      </c>
      <c r="F48" s="123">
        <v>15</v>
      </c>
      <c r="G48" s="123">
        <v>15</v>
      </c>
      <c r="H48" s="123">
        <v>15</v>
      </c>
      <c r="I48" s="123">
        <v>15</v>
      </c>
      <c r="J48" s="123">
        <v>15</v>
      </c>
      <c r="K48" s="123">
        <v>15</v>
      </c>
      <c r="L48" s="123">
        <v>15</v>
      </c>
      <c r="M48" s="123">
        <v>15</v>
      </c>
      <c r="N48" s="123">
        <v>15</v>
      </c>
      <c r="O48" s="123">
        <v>15</v>
      </c>
      <c r="P48" s="123">
        <v>15</v>
      </c>
      <c r="Q48" s="67"/>
      <c r="R48" s="67"/>
      <c r="S48" s="67"/>
      <c r="T48" s="67"/>
      <c r="U48" s="67"/>
      <c r="V48" s="67"/>
      <c r="W48" s="67"/>
      <c r="X48" s="67"/>
      <c r="Y48" s="67"/>
      <c r="Z48" s="67"/>
    </row>
    <row r="49" spans="1:26" ht="13.5" customHeight="1">
      <c r="A49" s="67"/>
      <c r="B49" s="67"/>
      <c r="C49" s="109" t="s">
        <v>849</v>
      </c>
      <c r="D49" s="122"/>
      <c r="E49" s="124">
        <f t="shared" ref="E49:P49" si="9">SUM(E47:E48)</f>
        <v>40</v>
      </c>
      <c r="F49" s="124">
        <f t="shared" si="9"/>
        <v>40</v>
      </c>
      <c r="G49" s="124">
        <f t="shared" si="9"/>
        <v>40</v>
      </c>
      <c r="H49" s="124">
        <f t="shared" si="9"/>
        <v>40</v>
      </c>
      <c r="I49" s="124">
        <f t="shared" si="9"/>
        <v>40</v>
      </c>
      <c r="J49" s="124">
        <f t="shared" si="9"/>
        <v>40</v>
      </c>
      <c r="K49" s="124">
        <f t="shared" si="9"/>
        <v>40</v>
      </c>
      <c r="L49" s="124">
        <f t="shared" si="9"/>
        <v>40</v>
      </c>
      <c r="M49" s="124">
        <f t="shared" si="9"/>
        <v>40</v>
      </c>
      <c r="N49" s="124">
        <f t="shared" si="9"/>
        <v>40</v>
      </c>
      <c r="O49" s="124">
        <f t="shared" si="9"/>
        <v>40</v>
      </c>
      <c r="P49" s="124">
        <f t="shared" si="9"/>
        <v>40</v>
      </c>
      <c r="Q49" s="125">
        <f>SUM(E49:P49)</f>
        <v>480</v>
      </c>
      <c r="R49" s="704" t="e">
        <f>Q49*'Assumptions TRC_AUN'!$E$33/[2]Setup!$F$49</f>
        <v>#DIV/0!</v>
      </c>
      <c r="S49" s="67"/>
      <c r="T49" s="67"/>
      <c r="U49" s="67"/>
      <c r="V49" s="67"/>
      <c r="W49" s="67"/>
      <c r="X49" s="67"/>
      <c r="Y49" s="67"/>
      <c r="Z49" s="67"/>
    </row>
    <row r="50" spans="1:26" ht="13.5" customHeight="1">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3.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ht="13.5" customHeight="1">
      <c r="A52" s="67"/>
      <c r="B52" s="702">
        <v>7</v>
      </c>
      <c r="C52" s="703" t="s">
        <v>559</v>
      </c>
      <c r="D52" s="67"/>
      <c r="E52" s="67"/>
      <c r="F52" s="67"/>
      <c r="G52" s="67"/>
      <c r="H52" s="67"/>
      <c r="I52" s="67"/>
      <c r="J52" s="67"/>
      <c r="K52" s="67"/>
      <c r="L52" s="67"/>
      <c r="M52" s="67"/>
      <c r="N52" s="67"/>
      <c r="O52" s="67"/>
      <c r="P52" s="67"/>
      <c r="Q52" s="67"/>
      <c r="R52" s="67"/>
      <c r="S52" s="67"/>
      <c r="T52" s="67"/>
      <c r="U52" s="67"/>
      <c r="V52" s="67"/>
      <c r="W52" s="67"/>
      <c r="X52" s="67"/>
      <c r="Y52" s="67"/>
      <c r="Z52" s="67"/>
    </row>
    <row r="53" spans="1:26" ht="13.5" customHeight="1">
      <c r="A53" s="67"/>
      <c r="B53" s="67"/>
      <c r="C53" s="122" t="s">
        <v>867</v>
      </c>
      <c r="D53" s="122" t="s">
        <v>848</v>
      </c>
      <c r="E53" s="123">
        <f>'Assumptions Other_AUN'!$Y$937+'Assumptions Other_AUN'!$Y$938+'Assumptions Other_AUN'!$Y$939+('Assumptions Other_AUN'!$Y$940+'Assumptions Other_AUN'!$Y$943)/4</f>
        <v>126.38767996400719</v>
      </c>
      <c r="F53" s="123">
        <f>'Assumptions Other_AUN'!$Y$937+'Assumptions Other_AUN'!$Y$938+'Assumptions Other_AUN'!$Y$939+('Assumptions Other_AUN'!$Y$940+'Assumptions Other_AUN'!$Y$943)/4</f>
        <v>126.38767996400719</v>
      </c>
      <c r="G53" s="123">
        <f>'Assumptions Other_AUN'!$Y$937+'Assumptions Other_AUN'!$Y$938+'Assumptions Other_AUN'!$Y$939+('Assumptions Other_AUN'!$Y$940+'Assumptions Other_AUN'!$Y$943)/4</f>
        <v>126.38767996400719</v>
      </c>
      <c r="H53" s="123">
        <f>'Assumptions Other_AUN'!$Y$937+'Assumptions Other_AUN'!$Y$938+'Assumptions Other_AUN'!$Y$939+('Assumptions Other_AUN'!$Y$940+'Assumptions Other_AUN'!$Y$943)/4</f>
        <v>126.38767996400719</v>
      </c>
      <c r="I53" s="127">
        <f>'Assumptions Other_AUN'!$Y$940/4+30</f>
        <v>57.204079184163163</v>
      </c>
      <c r="J53" s="127">
        <f>'Assumptions Other_AUN'!$Y$940/4+30</f>
        <v>57.204079184163163</v>
      </c>
      <c r="K53" s="127">
        <f>'Assumptions Other_AUN'!$Y$940/4+30</f>
        <v>57.204079184163163</v>
      </c>
      <c r="L53" s="127">
        <f>'Assumptions Other_AUN'!$Y$940/4+30</f>
        <v>57.204079184163163</v>
      </c>
      <c r="M53" s="123">
        <f>('Assumptions Other_AUN'!$Y$940+'Assumptions Other_AUN'!$Y$943)/4</f>
        <v>61.741871625674861</v>
      </c>
      <c r="N53" s="123">
        <f>('Assumptions Other_AUN'!$Y$940+'Assumptions Other_AUN'!$Y$943)/4</f>
        <v>61.741871625674861</v>
      </c>
      <c r="O53" s="123">
        <f>('Assumptions Other_AUN'!$Y$940+'Assumptions Other_AUN'!$Y$943)/4</f>
        <v>61.741871625674861</v>
      </c>
      <c r="P53" s="123">
        <f>('Assumptions Other_AUN'!$Y$940+'Assumptions Other_AUN'!$Y$943)/4</f>
        <v>61.741871625674861</v>
      </c>
      <c r="Q53" s="67"/>
      <c r="R53" s="67"/>
      <c r="S53" s="67"/>
      <c r="T53" s="67"/>
      <c r="U53" s="67"/>
      <c r="V53" s="67"/>
      <c r="W53" s="67"/>
      <c r="X53" s="67"/>
      <c r="Y53" s="67"/>
      <c r="Z53" s="67"/>
    </row>
    <row r="54" spans="1:26" ht="13.5" customHeight="1">
      <c r="A54" s="67"/>
      <c r="B54" s="67"/>
      <c r="C54" s="122" t="s">
        <v>868</v>
      </c>
      <c r="D54" s="122" t="s">
        <v>848</v>
      </c>
      <c r="E54" s="123">
        <v>63.624719595337588</v>
      </c>
      <c r="F54" s="123">
        <v>63.624719595337588</v>
      </c>
      <c r="G54" s="123">
        <v>63.624719595337588</v>
      </c>
      <c r="H54" s="123">
        <v>63.624719595337588</v>
      </c>
      <c r="I54" s="123">
        <v>63.624719595337588</v>
      </c>
      <c r="J54" s="123">
        <v>63.624719595337588</v>
      </c>
      <c r="K54" s="123">
        <v>63.624719595337588</v>
      </c>
      <c r="L54" s="123">
        <v>63.624719595337588</v>
      </c>
      <c r="M54" s="123">
        <v>63.624719595337588</v>
      </c>
      <c r="N54" s="123">
        <v>63.624719595337588</v>
      </c>
      <c r="O54" s="123">
        <v>63.624719595337588</v>
      </c>
      <c r="P54" s="123">
        <v>63.624719595337588</v>
      </c>
      <c r="Q54" s="67"/>
      <c r="R54" s="67"/>
      <c r="S54" s="67"/>
      <c r="T54" s="67"/>
      <c r="U54" s="67"/>
      <c r="V54" s="67"/>
      <c r="W54" s="67"/>
      <c r="X54" s="67"/>
      <c r="Y54" s="67"/>
      <c r="Z54" s="67"/>
    </row>
    <row r="55" spans="1:26" ht="13.5" customHeight="1">
      <c r="A55" s="67"/>
      <c r="B55" s="67"/>
      <c r="C55" s="109" t="s">
        <v>849</v>
      </c>
      <c r="D55" s="122"/>
      <c r="E55" s="124">
        <f t="shared" ref="E55:P55" si="10">SUM(E53:E54)</f>
        <v>190.01239955934477</v>
      </c>
      <c r="F55" s="124">
        <f t="shared" si="10"/>
        <v>190.01239955934477</v>
      </c>
      <c r="G55" s="124">
        <f t="shared" si="10"/>
        <v>190.01239955934477</v>
      </c>
      <c r="H55" s="124">
        <f t="shared" si="10"/>
        <v>190.01239955934477</v>
      </c>
      <c r="I55" s="124">
        <f t="shared" si="10"/>
        <v>120.82879877950074</v>
      </c>
      <c r="J55" s="124">
        <f t="shared" si="10"/>
        <v>120.82879877950074</v>
      </c>
      <c r="K55" s="124">
        <f t="shared" si="10"/>
        <v>120.82879877950074</v>
      </c>
      <c r="L55" s="124">
        <f t="shared" si="10"/>
        <v>120.82879877950074</v>
      </c>
      <c r="M55" s="124">
        <f t="shared" si="10"/>
        <v>125.36659122101244</v>
      </c>
      <c r="N55" s="124">
        <f t="shared" si="10"/>
        <v>125.36659122101244</v>
      </c>
      <c r="O55" s="124">
        <f t="shared" si="10"/>
        <v>125.36659122101244</v>
      </c>
      <c r="P55" s="124">
        <f t="shared" si="10"/>
        <v>125.36659122101244</v>
      </c>
      <c r="Q55" s="67"/>
      <c r="R55" s="67"/>
      <c r="S55" s="67"/>
      <c r="T55" s="67"/>
      <c r="U55" s="67"/>
      <c r="V55" s="67"/>
      <c r="W55" s="67"/>
      <c r="X55" s="67"/>
      <c r="Y55" s="67"/>
      <c r="Z55" s="67"/>
    </row>
    <row r="56" spans="1:26" ht="13.5" customHeight="1">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ht="13.5" customHeight="1">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ht="13.5" customHeight="1">
      <c r="A58" s="67"/>
      <c r="B58" s="702">
        <v>8</v>
      </c>
      <c r="C58" s="703" t="s">
        <v>869</v>
      </c>
      <c r="D58" s="67"/>
      <c r="E58" s="125"/>
      <c r="F58" s="125"/>
      <c r="G58" s="125"/>
      <c r="H58" s="125"/>
      <c r="I58" s="125"/>
      <c r="J58" s="125"/>
      <c r="K58" s="125"/>
      <c r="L58" s="125"/>
      <c r="M58" s="125"/>
      <c r="N58" s="125"/>
      <c r="O58" s="125"/>
      <c r="P58" s="125"/>
      <c r="Q58" s="67"/>
      <c r="R58" s="67"/>
      <c r="S58" s="67"/>
      <c r="T58" s="67"/>
      <c r="U58" s="67"/>
      <c r="V58" s="67"/>
      <c r="W58" s="67"/>
      <c r="X58" s="67"/>
      <c r="Y58" s="67"/>
      <c r="Z58" s="67"/>
    </row>
    <row r="59" spans="1:26" ht="13.5" customHeight="1">
      <c r="A59" s="67"/>
      <c r="B59" s="67"/>
      <c r="C59" s="122" t="s">
        <v>864</v>
      </c>
      <c r="D59" s="122" t="s">
        <v>848</v>
      </c>
      <c r="E59" s="123">
        <v>314.48625467341105</v>
      </c>
      <c r="F59" s="123">
        <v>314.48625467341105</v>
      </c>
      <c r="G59" s="123">
        <v>212.23224103804708</v>
      </c>
      <c r="H59" s="123">
        <v>212.23224103804708</v>
      </c>
      <c r="I59" s="123">
        <v>212.23224103804708</v>
      </c>
      <c r="J59" s="123">
        <v>212.23224103804708</v>
      </c>
      <c r="K59" s="123">
        <v>212.23224103804708</v>
      </c>
      <c r="L59" s="123">
        <v>212.23224103804708</v>
      </c>
      <c r="M59" s="123"/>
      <c r="N59" s="123"/>
      <c r="O59" s="123"/>
      <c r="P59" s="123"/>
      <c r="Q59" s="67"/>
      <c r="R59" s="67"/>
      <c r="S59" s="67"/>
      <c r="T59" s="67"/>
      <c r="U59" s="67"/>
      <c r="V59" s="67"/>
      <c r="W59" s="67"/>
      <c r="X59" s="67"/>
      <c r="Y59" s="67"/>
      <c r="Z59" s="67"/>
    </row>
    <row r="60" spans="1:26" ht="13.5" customHeight="1">
      <c r="A60" s="67"/>
      <c r="B60" s="67"/>
      <c r="C60" s="122" t="s">
        <v>865</v>
      </c>
      <c r="D60" s="122" t="s">
        <v>848</v>
      </c>
      <c r="E60" s="123">
        <v>53.441829777875519</v>
      </c>
      <c r="F60" s="123">
        <v>53.441829777875519</v>
      </c>
      <c r="G60" s="123">
        <v>53.441829777875519</v>
      </c>
      <c r="H60" s="123">
        <v>53.441829777875519</v>
      </c>
      <c r="I60" s="123">
        <v>62.348801407521442</v>
      </c>
      <c r="J60" s="123">
        <v>62.348801407521442</v>
      </c>
      <c r="K60" s="123">
        <v>62.348801407521442</v>
      </c>
      <c r="L60" s="123">
        <v>62.348801407521442</v>
      </c>
      <c r="M60" s="123">
        <v>106.88365955575104</v>
      </c>
      <c r="N60" s="123">
        <v>106.88365955575104</v>
      </c>
      <c r="O60" s="123">
        <v>106.88365955575104</v>
      </c>
      <c r="P60" s="123">
        <v>106.88365955575104</v>
      </c>
      <c r="Q60" s="67"/>
      <c r="R60" s="67"/>
      <c r="S60" s="67"/>
      <c r="T60" s="67"/>
      <c r="U60" s="67"/>
      <c r="V60" s="67"/>
      <c r="W60" s="67"/>
      <c r="X60" s="67"/>
      <c r="Y60" s="67"/>
      <c r="Z60" s="67"/>
    </row>
    <row r="61" spans="1:26" ht="13.5" customHeight="1">
      <c r="A61" s="67"/>
      <c r="B61" s="67"/>
      <c r="C61" s="122" t="s">
        <v>865</v>
      </c>
      <c r="D61" s="122" t="s">
        <v>848</v>
      </c>
      <c r="E61" s="123">
        <v>6.4328128436331644</v>
      </c>
      <c r="F61" s="123">
        <v>6.4328128436331644</v>
      </c>
      <c r="G61" s="123">
        <v>6.4328128436331644</v>
      </c>
      <c r="H61" s="123">
        <v>6.4328128436331644</v>
      </c>
      <c r="I61" s="123">
        <v>7.5049483175720253</v>
      </c>
      <c r="J61" s="123">
        <v>7.5049483175720253</v>
      </c>
      <c r="K61" s="123">
        <v>7.5049483175720253</v>
      </c>
      <c r="L61" s="123">
        <v>0</v>
      </c>
      <c r="M61" s="123">
        <v>12.865625687266329</v>
      </c>
      <c r="N61" s="123">
        <v>12.865625687266329</v>
      </c>
      <c r="O61" s="123">
        <v>12.865625687266329</v>
      </c>
      <c r="P61" s="123">
        <v>12.865625687266329</v>
      </c>
      <c r="Q61" s="67"/>
      <c r="R61" s="67"/>
      <c r="S61" s="67"/>
      <c r="T61" s="67"/>
      <c r="U61" s="67"/>
      <c r="V61" s="67"/>
      <c r="W61" s="67"/>
      <c r="X61" s="67"/>
      <c r="Y61" s="67"/>
      <c r="Z61" s="67"/>
    </row>
    <row r="62" spans="1:26" ht="13.5" customHeight="1">
      <c r="A62" s="67"/>
      <c r="B62" s="67"/>
      <c r="C62" s="122" t="s">
        <v>865</v>
      </c>
      <c r="D62" s="122" t="s">
        <v>848</v>
      </c>
      <c r="E62" s="123">
        <v>8.9069716296459198</v>
      </c>
      <c r="F62" s="123">
        <v>8.9069716296459198</v>
      </c>
      <c r="G62" s="123">
        <v>8.9069716296459198</v>
      </c>
      <c r="H62" s="123">
        <v>8.9069716296459198</v>
      </c>
      <c r="I62" s="123">
        <v>10.391466901253574</v>
      </c>
      <c r="J62" s="123">
        <v>10.391466901253574</v>
      </c>
      <c r="K62" s="123">
        <v>10.391466901253574</v>
      </c>
      <c r="L62" s="123">
        <v>10.391466901253574</v>
      </c>
      <c r="M62" s="123">
        <v>17.81394325929184</v>
      </c>
      <c r="N62" s="123">
        <v>17.81394325929184</v>
      </c>
      <c r="O62" s="123">
        <v>17.81394325929184</v>
      </c>
      <c r="P62" s="123">
        <v>17.81394325929184</v>
      </c>
      <c r="Q62" s="67"/>
      <c r="R62" s="67"/>
      <c r="S62" s="67"/>
      <c r="T62" s="67"/>
      <c r="U62" s="67"/>
      <c r="V62" s="67"/>
      <c r="W62" s="67"/>
      <c r="X62" s="67"/>
      <c r="Y62" s="67"/>
      <c r="Z62" s="67"/>
    </row>
    <row r="63" spans="1:26" ht="13.5" customHeight="1">
      <c r="A63" s="67"/>
      <c r="B63" s="67"/>
      <c r="C63" s="122" t="s">
        <v>865</v>
      </c>
      <c r="D63" s="122" t="s">
        <v>848</v>
      </c>
      <c r="E63" s="123">
        <v>0</v>
      </c>
      <c r="F63" s="123">
        <v>0</v>
      </c>
      <c r="G63" s="123">
        <v>0</v>
      </c>
      <c r="H63" s="123">
        <v>0</v>
      </c>
      <c r="I63" s="123">
        <v>0</v>
      </c>
      <c r="J63" s="123">
        <v>0</v>
      </c>
      <c r="K63" s="123">
        <v>0</v>
      </c>
      <c r="L63" s="123">
        <v>0</v>
      </c>
      <c r="M63" s="123">
        <v>13.93776116120519</v>
      </c>
      <c r="N63" s="123">
        <v>13.93776116120519</v>
      </c>
      <c r="O63" s="123">
        <v>13.93776116120519</v>
      </c>
      <c r="P63" s="123">
        <v>13.93776116120519</v>
      </c>
      <c r="Q63" s="67"/>
      <c r="R63" s="67"/>
      <c r="S63" s="67"/>
      <c r="T63" s="67"/>
      <c r="U63" s="67"/>
      <c r="V63" s="67"/>
      <c r="W63" s="67"/>
      <c r="X63" s="67"/>
      <c r="Y63" s="67"/>
      <c r="Z63" s="67"/>
    </row>
    <row r="64" spans="1:26" ht="13.5" customHeight="1">
      <c r="A64" s="67"/>
      <c r="B64" s="67"/>
      <c r="C64" s="109" t="s">
        <v>849</v>
      </c>
      <c r="D64" s="122"/>
      <c r="E64" s="124">
        <f t="shared" ref="E64:P64" si="11">SUM(E59:E63)</f>
        <v>383.26786892456562</v>
      </c>
      <c r="F64" s="124">
        <f t="shared" si="11"/>
        <v>383.26786892456562</v>
      </c>
      <c r="G64" s="124">
        <f t="shared" si="11"/>
        <v>281.01385528920167</v>
      </c>
      <c r="H64" s="124">
        <f t="shared" si="11"/>
        <v>281.01385528920167</v>
      </c>
      <c r="I64" s="124">
        <f t="shared" si="11"/>
        <v>292.47745766439414</v>
      </c>
      <c r="J64" s="124">
        <f t="shared" si="11"/>
        <v>292.47745766439414</v>
      </c>
      <c r="K64" s="124">
        <f t="shared" si="11"/>
        <v>292.47745766439414</v>
      </c>
      <c r="L64" s="124">
        <f t="shared" si="11"/>
        <v>284.97250934682211</v>
      </c>
      <c r="M64" s="124">
        <f t="shared" si="11"/>
        <v>151.50098966351442</v>
      </c>
      <c r="N64" s="124">
        <f t="shared" si="11"/>
        <v>151.50098966351442</v>
      </c>
      <c r="O64" s="124">
        <f t="shared" si="11"/>
        <v>151.50098966351442</v>
      </c>
      <c r="P64" s="124">
        <f t="shared" si="11"/>
        <v>151.50098966351442</v>
      </c>
      <c r="Q64" s="67"/>
      <c r="R64" s="67"/>
      <c r="S64" s="67"/>
      <c r="T64" s="67"/>
      <c r="U64" s="67"/>
      <c r="V64" s="67"/>
      <c r="W64" s="67"/>
      <c r="X64" s="67"/>
      <c r="Y64" s="67"/>
      <c r="Z64" s="67"/>
    </row>
    <row r="65" spans="1:26" ht="13.5" customHeight="1">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ht="13.5" customHeight="1">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ht="13.5" customHeight="1">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13.5" customHeight="1">
      <c r="A68" s="67"/>
      <c r="B68" s="128"/>
      <c r="C68" s="128"/>
      <c r="D68" s="894" t="s">
        <v>870</v>
      </c>
      <c r="E68" s="895"/>
      <c r="F68" s="896"/>
      <c r="G68" s="129"/>
      <c r="H68" s="894" t="s">
        <v>871</v>
      </c>
      <c r="I68" s="895"/>
      <c r="J68" s="896"/>
      <c r="K68" s="129"/>
      <c r="L68" s="894" t="s">
        <v>872</v>
      </c>
      <c r="M68" s="895"/>
      <c r="N68" s="896"/>
      <c r="O68" s="67"/>
      <c r="P68" s="67"/>
      <c r="Q68" s="67"/>
      <c r="R68" s="67"/>
      <c r="S68" s="67"/>
      <c r="T68" s="67"/>
      <c r="U68" s="67"/>
      <c r="V68" s="67"/>
      <c r="W68" s="67"/>
      <c r="X68" s="67"/>
      <c r="Y68" s="67"/>
      <c r="Z68" s="67"/>
    </row>
    <row r="69" spans="1:26" ht="13.5" customHeight="1">
      <c r="A69" s="67"/>
      <c r="B69" s="128"/>
      <c r="C69" s="128"/>
      <c r="D69" s="894" t="s">
        <v>873</v>
      </c>
      <c r="E69" s="895"/>
      <c r="F69" s="896"/>
      <c r="G69" s="128"/>
      <c r="H69" s="894" t="s">
        <v>874</v>
      </c>
      <c r="I69" s="895"/>
      <c r="J69" s="896"/>
      <c r="K69" s="128"/>
      <c r="L69" s="894" t="s">
        <v>873</v>
      </c>
      <c r="M69" s="895"/>
      <c r="N69" s="896"/>
      <c r="O69" s="67"/>
      <c r="P69" s="67"/>
      <c r="Q69" s="67"/>
      <c r="R69" s="67"/>
      <c r="S69" s="67"/>
      <c r="T69" s="67"/>
      <c r="U69" s="67"/>
      <c r="V69" s="67"/>
      <c r="W69" s="67"/>
      <c r="X69" s="67"/>
      <c r="Y69" s="67"/>
      <c r="Z69" s="67"/>
    </row>
    <row r="70" spans="1:26" ht="13.5" customHeight="1">
      <c r="A70" s="67"/>
      <c r="B70" s="128"/>
      <c r="C70" s="128"/>
      <c r="D70" s="705">
        <v>2021</v>
      </c>
      <c r="E70" s="705">
        <v>2022</v>
      </c>
      <c r="F70" s="705">
        <v>2023</v>
      </c>
      <c r="G70" s="128"/>
      <c r="H70" s="705">
        <v>2021</v>
      </c>
      <c r="I70" s="705">
        <v>2022</v>
      </c>
      <c r="J70" s="705">
        <v>2023</v>
      </c>
      <c r="K70" s="128"/>
      <c r="L70" s="705">
        <v>2021</v>
      </c>
      <c r="M70" s="705">
        <v>2022</v>
      </c>
      <c r="N70" s="705">
        <v>2023</v>
      </c>
      <c r="O70" s="67"/>
      <c r="P70" s="67"/>
      <c r="Q70" s="67"/>
      <c r="R70" s="67"/>
      <c r="S70" s="67"/>
      <c r="T70" s="67"/>
      <c r="U70" s="67"/>
      <c r="V70" s="67"/>
      <c r="W70" s="67"/>
      <c r="X70" s="67"/>
      <c r="Y70" s="67"/>
      <c r="Z70" s="67"/>
    </row>
    <row r="71" spans="1:26" ht="13.5" customHeight="1">
      <c r="A71" s="111"/>
      <c r="B71" s="128" t="s">
        <v>875</v>
      </c>
      <c r="C71" s="128"/>
      <c r="D71" s="130">
        <v>2823876.0847540954</v>
      </c>
      <c r="E71" s="706">
        <v>2683453.5744695663</v>
      </c>
      <c r="F71" s="130">
        <v>2192096.7568882876</v>
      </c>
      <c r="G71" s="128"/>
      <c r="H71" s="130"/>
      <c r="I71" s="130"/>
      <c r="J71" s="130"/>
      <c r="K71" s="128"/>
      <c r="L71" s="130" t="e" vm="1">
        <f>D71+H71*[2]Setup!$F$49</f>
        <v>#VALUE!</v>
      </c>
      <c r="M71" s="130" t="e" vm="1">
        <f>E71+I71*[2]Setup!$F$49</f>
        <v>#VALUE!</v>
      </c>
      <c r="N71" s="130" t="e" vm="1">
        <f>F71+J71*[2]Setup!$F$49</f>
        <v>#VALUE!</v>
      </c>
      <c r="O71" s="111"/>
      <c r="P71" s="111"/>
      <c r="Q71" s="111"/>
      <c r="R71" s="111"/>
      <c r="S71" s="111"/>
      <c r="T71" s="111"/>
      <c r="U71" s="111"/>
      <c r="V71" s="111"/>
      <c r="W71" s="111"/>
      <c r="X71" s="111"/>
      <c r="Y71" s="111"/>
      <c r="Z71" s="111"/>
    </row>
    <row r="72" spans="1:26" ht="13.5" customHeight="1">
      <c r="A72" s="111"/>
      <c r="B72" s="128" t="s">
        <v>876</v>
      </c>
      <c r="C72" s="128"/>
      <c r="D72" s="130">
        <v>65783.600863433952</v>
      </c>
      <c r="E72" s="706">
        <v>62053.031958736639</v>
      </c>
      <c r="F72" s="130">
        <v>50562.484155555554</v>
      </c>
      <c r="G72" s="128"/>
      <c r="H72" s="130"/>
      <c r="I72" s="130"/>
      <c r="J72" s="130"/>
      <c r="K72" s="128"/>
      <c r="L72" s="130" t="e" vm="1">
        <f>D72+H72*[2]Setup!$F$49</f>
        <v>#VALUE!</v>
      </c>
      <c r="M72" s="130" t="e" vm="1">
        <f>E72+I72*[2]Setup!$F$49</f>
        <v>#VALUE!</v>
      </c>
      <c r="N72" s="130" t="e" vm="1">
        <f>F72+J72*[2]Setup!$F$49</f>
        <v>#VALUE!</v>
      </c>
      <c r="O72" s="111"/>
      <c r="P72" s="111"/>
      <c r="Q72" s="111"/>
      <c r="R72" s="111"/>
      <c r="S72" s="111"/>
      <c r="T72" s="111"/>
      <c r="U72" s="111"/>
      <c r="V72" s="111"/>
      <c r="W72" s="111"/>
      <c r="X72" s="111"/>
      <c r="Y72" s="111"/>
      <c r="Z72" s="111"/>
    </row>
    <row r="73" spans="1:26" ht="13.5" customHeight="1">
      <c r="A73" s="111"/>
      <c r="B73" s="128" t="s">
        <v>877</v>
      </c>
      <c r="C73" s="128"/>
      <c r="D73" s="130">
        <v>5259.7317179614047</v>
      </c>
      <c r="E73" s="706">
        <v>4961.45385939888</v>
      </c>
      <c r="F73" s="130">
        <v>4042.7264266666662</v>
      </c>
      <c r="G73" s="128"/>
      <c r="H73" s="130"/>
      <c r="I73" s="130"/>
      <c r="J73" s="130"/>
      <c r="K73" s="128"/>
      <c r="L73" s="130" t="e" vm="1">
        <f>D73+H73*[2]Setup!$F$49</f>
        <v>#VALUE!</v>
      </c>
      <c r="M73" s="130" t="e" vm="1">
        <f>E73+I73*[2]Setup!$F$49</f>
        <v>#VALUE!</v>
      </c>
      <c r="N73" s="130" t="e" vm="1">
        <f>F73+J73*[2]Setup!$F$49</f>
        <v>#VALUE!</v>
      </c>
      <c r="O73" s="111"/>
      <c r="P73" s="111"/>
      <c r="Q73" s="111"/>
      <c r="R73" s="111"/>
      <c r="S73" s="111"/>
      <c r="T73" s="111"/>
      <c r="U73" s="111"/>
      <c r="V73" s="111"/>
      <c r="W73" s="111"/>
      <c r="X73" s="111"/>
      <c r="Y73" s="111"/>
      <c r="Z73" s="111"/>
    </row>
    <row r="74" spans="1:26" ht="13.5" customHeight="1">
      <c r="A74" s="111"/>
      <c r="B74" s="128" t="s">
        <v>848</v>
      </c>
      <c r="C74" s="128"/>
      <c r="D74" s="130">
        <v>37920.603166749133</v>
      </c>
      <c r="E74" s="706">
        <v>37833.00916963831</v>
      </c>
      <c r="F74" s="130">
        <v>37563.210370370369</v>
      </c>
      <c r="G74" s="128"/>
      <c r="H74" s="130">
        <v>16459.728506787331</v>
      </c>
      <c r="I74" s="130">
        <v>16459.728506787331</v>
      </c>
      <c r="J74" s="130">
        <v>16459.728506787331</v>
      </c>
      <c r="K74" s="128"/>
      <c r="L74" s="130" t="e" vm="1">
        <f>D74+H74/12*[2]Setup!$F$49</f>
        <v>#VALUE!</v>
      </c>
      <c r="M74" s="130" t="e" vm="1">
        <f>E74+I74/12*[2]Setup!$F$49</f>
        <v>#VALUE!</v>
      </c>
      <c r="N74" s="130" t="e" vm="1">
        <f>F74+J74/12*[2]Setup!$F$49</f>
        <v>#VALUE!</v>
      </c>
      <c r="O74" s="111"/>
      <c r="P74" s="111"/>
      <c r="Q74" s="111"/>
      <c r="R74" s="111"/>
      <c r="S74" s="111"/>
      <c r="T74" s="111"/>
      <c r="U74" s="111"/>
      <c r="V74" s="111"/>
      <c r="W74" s="111"/>
      <c r="X74" s="111"/>
      <c r="Y74" s="111"/>
      <c r="Z74" s="111"/>
    </row>
    <row r="75" spans="1:26" ht="13.5" customHeight="1">
      <c r="A75" s="111"/>
      <c r="B75" s="128" t="s">
        <v>878</v>
      </c>
      <c r="C75" s="128"/>
      <c r="D75" s="130">
        <v>8487.4638033151914</v>
      </c>
      <c r="E75" s="706">
        <v>8006.1421953642403</v>
      </c>
      <c r="F75" s="130">
        <v>6523.6206051851859</v>
      </c>
      <c r="G75" s="128"/>
      <c r="H75" s="130">
        <v>48000</v>
      </c>
      <c r="I75" s="130">
        <v>48000</v>
      </c>
      <c r="J75" s="130">
        <v>48000</v>
      </c>
      <c r="K75" s="128" t="s">
        <v>879</v>
      </c>
      <c r="L75" s="130" t="e" vm="1">
        <f>D75+H75/12*[2]Setup!$F$49</f>
        <v>#VALUE!</v>
      </c>
      <c r="M75" s="130" t="e" vm="1">
        <f>E75+I75/12*[2]Setup!$F$49</f>
        <v>#VALUE!</v>
      </c>
      <c r="N75" s="130" t="e" vm="1">
        <f>F75+J75/12*[2]Setup!$F$49</f>
        <v>#VALUE!</v>
      </c>
      <c r="O75" s="111"/>
      <c r="P75" s="111"/>
      <c r="Q75" s="111"/>
      <c r="R75" s="111"/>
      <c r="S75" s="111"/>
      <c r="T75" s="111"/>
      <c r="U75" s="111"/>
      <c r="V75" s="111"/>
      <c r="W75" s="111"/>
      <c r="X75" s="111"/>
      <c r="Y75" s="111"/>
      <c r="Z75" s="111"/>
    </row>
    <row r="76" spans="1:26" ht="13.5" customHeight="1">
      <c r="A76" s="111"/>
      <c r="B76" s="128" t="s">
        <v>880</v>
      </c>
      <c r="C76" s="128"/>
      <c r="D76" s="130">
        <v>11680.621285007423</v>
      </c>
      <c r="E76" s="706">
        <v>11018.216643402957</v>
      </c>
      <c r="F76" s="130">
        <v>8977.9401081481483</v>
      </c>
      <c r="G76" s="128"/>
      <c r="H76" s="130"/>
      <c r="I76" s="130"/>
      <c r="J76" s="130"/>
      <c r="K76" s="128"/>
      <c r="L76" s="130" t="e" vm="1">
        <f>D76+H76*[2]Setup!$F$49</f>
        <v>#VALUE!</v>
      </c>
      <c r="M76" s="130" t="e" vm="1">
        <f>E76+I76*[2]Setup!$F$49</f>
        <v>#VALUE!</v>
      </c>
      <c r="N76" s="130" t="e" vm="1">
        <f>F76+J76*[2]Setup!$F$49</f>
        <v>#VALUE!</v>
      </c>
      <c r="O76" s="111"/>
      <c r="P76" s="111"/>
      <c r="Q76" s="111"/>
      <c r="R76" s="111"/>
      <c r="S76" s="111"/>
      <c r="T76" s="111"/>
      <c r="U76" s="111"/>
      <c r="V76" s="111"/>
      <c r="W76" s="111"/>
      <c r="X76" s="111"/>
      <c r="Y76" s="111"/>
      <c r="Z76" s="111"/>
    </row>
    <row r="77" spans="1:26" ht="13.5" customHeight="1">
      <c r="A77" s="111"/>
      <c r="B77" s="128" t="s">
        <v>881</v>
      </c>
      <c r="C77" s="128"/>
      <c r="D77" s="130">
        <v>144328.26970237502</v>
      </c>
      <c r="E77" s="706">
        <v>136143.45543326542</v>
      </c>
      <c r="F77" s="130">
        <v>110933.3595948148</v>
      </c>
      <c r="G77" s="128"/>
      <c r="H77" s="130"/>
      <c r="I77" s="130"/>
      <c r="J77" s="130"/>
      <c r="K77" s="128"/>
      <c r="L77" s="130" t="e" vm="1">
        <f>D77+H77*[2]Setup!$F$49</f>
        <v>#VALUE!</v>
      </c>
      <c r="M77" s="130" t="e" vm="1">
        <f>E77+I77*[2]Setup!$F$49</f>
        <v>#VALUE!</v>
      </c>
      <c r="N77" s="130" t="e" vm="1">
        <f>F77+J77*[2]Setup!$F$49</f>
        <v>#VALUE!</v>
      </c>
      <c r="O77" s="111"/>
      <c r="P77" s="111"/>
      <c r="Q77" s="111"/>
      <c r="R77" s="111"/>
      <c r="S77" s="111"/>
      <c r="T77" s="111"/>
      <c r="U77" s="111"/>
      <c r="V77" s="111"/>
      <c r="W77" s="111"/>
      <c r="X77" s="111"/>
      <c r="Y77" s="111"/>
      <c r="Z77" s="111"/>
    </row>
    <row r="78" spans="1:26" ht="13.5" customHeight="1">
      <c r="A78" s="111"/>
      <c r="B78" s="128" t="s">
        <v>882</v>
      </c>
      <c r="C78" s="128"/>
      <c r="D78" s="707">
        <v>21818.40731284018</v>
      </c>
      <c r="E78" s="708">
        <v>20581.091769103416</v>
      </c>
      <c r="F78" s="707">
        <v>16770.028693703702</v>
      </c>
      <c r="G78" s="128"/>
      <c r="H78" s="707">
        <v>48489.258504743215</v>
      </c>
      <c r="I78" s="707">
        <v>43928.351299042617</v>
      </c>
      <c r="J78" s="707">
        <v>31836.500745545138</v>
      </c>
      <c r="K78" s="128" t="s">
        <v>883</v>
      </c>
      <c r="L78" s="707" t="e" vm="1">
        <f>D78+H78/12*[2]Setup!$F$49</f>
        <v>#VALUE!</v>
      </c>
      <c r="M78" s="707" t="e" vm="1">
        <f>E78+I78/12*[2]Setup!$F$49</f>
        <v>#VALUE!</v>
      </c>
      <c r="N78" s="707" t="e" vm="1">
        <f>F78+J78/12*[2]Setup!$F$49</f>
        <v>#VALUE!</v>
      </c>
      <c r="O78" s="111"/>
      <c r="P78" s="111"/>
      <c r="Q78" s="111"/>
      <c r="R78" s="111"/>
      <c r="S78" s="111"/>
      <c r="T78" s="111"/>
      <c r="U78" s="111"/>
      <c r="V78" s="111"/>
      <c r="W78" s="111"/>
      <c r="X78" s="111"/>
      <c r="Y78" s="111"/>
      <c r="Z78" s="111"/>
    </row>
    <row r="79" spans="1:26" ht="13.5" customHeight="1">
      <c r="A79" s="111"/>
      <c r="B79" s="128"/>
      <c r="C79" s="128"/>
      <c r="D79" s="131">
        <f t="shared" ref="D79:F79" si="12">SUM(D71:D78)</f>
        <v>3119154.7826057775</v>
      </c>
      <c r="E79" s="709">
        <f t="shared" si="12"/>
        <v>2964049.9754984761</v>
      </c>
      <c r="F79" s="131">
        <f t="shared" si="12"/>
        <v>2427470.1268427316</v>
      </c>
      <c r="G79" s="128"/>
      <c r="H79" s="131">
        <f t="shared" ref="H79:J79" si="13">SUM(H71:H78)</f>
        <v>112948.98701153055</v>
      </c>
      <c r="I79" s="131">
        <f t="shared" si="13"/>
        <v>108388.07980582994</v>
      </c>
      <c r="J79" s="131">
        <f t="shared" si="13"/>
        <v>96296.229252332472</v>
      </c>
      <c r="K79" s="128"/>
      <c r="L79" s="131" t="e" vm="2">
        <f t="shared" ref="L79:N79" si="14">SUM(L71:L78)</f>
        <v>#VALUE!</v>
      </c>
      <c r="M79" s="131" t="e" vm="2">
        <f t="shared" si="14"/>
        <v>#VALUE!</v>
      </c>
      <c r="N79" s="131" t="e" vm="2">
        <f t="shared" si="14"/>
        <v>#VALUE!</v>
      </c>
      <c r="O79" s="111"/>
      <c r="P79" s="111"/>
      <c r="Q79" s="111"/>
      <c r="R79" s="111"/>
      <c r="S79" s="111"/>
      <c r="T79" s="111"/>
      <c r="U79" s="111"/>
      <c r="V79" s="111"/>
      <c r="W79" s="111"/>
      <c r="X79" s="111"/>
      <c r="Y79" s="111"/>
      <c r="Z79" s="111"/>
    </row>
    <row r="80" spans="1:26" ht="13.5" customHeight="1">
      <c r="A80" s="111"/>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row>
    <row r="81" spans="1:26" ht="13.5" customHeight="1">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row>
    <row r="82" spans="1:26" ht="13.5" customHeight="1">
      <c r="A82" s="111"/>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row>
    <row r="83" spans="1:26" ht="13.5" customHeight="1">
      <c r="A83" s="111"/>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row>
    <row r="84" spans="1:26" ht="13.5" customHeight="1">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row>
    <row r="85" spans="1:26" ht="13.5" customHeight="1">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row>
    <row r="86" spans="1:26" ht="13.5" customHeight="1">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row>
    <row r="87" spans="1:26" ht="13.5" customHeight="1">
      <c r="A87" s="111"/>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row>
    <row r="88" spans="1:26" ht="13.5" customHeight="1">
      <c r="A88" s="111"/>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row>
    <row r="89" spans="1:26" ht="13.5" customHeight="1">
      <c r="A89" s="111"/>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row>
    <row r="90" spans="1:26" ht="13.5" customHeight="1">
      <c r="A90" s="111"/>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row>
    <row r="91" spans="1:26" ht="13.5" customHeight="1">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row>
    <row r="92" spans="1:26" ht="13.5"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row>
    <row r="93" spans="1:26" ht="13.5" customHeight="1">
      <c r="A93" s="111"/>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row>
    <row r="94" spans="1:26" ht="13.5" customHeight="1">
      <c r="A94" s="111"/>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row>
    <row r="95" spans="1:26" ht="13.5" customHeight="1">
      <c r="A95" s="111"/>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row>
    <row r="96" spans="1:26" ht="13.5" customHeight="1">
      <c r="A96" s="111"/>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row>
    <row r="97" spans="1:26" ht="13.5" customHeight="1">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row>
    <row r="98" spans="1:26" ht="13.5" customHeight="1">
      <c r="A98" s="111"/>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row>
    <row r="99" spans="1:26" ht="13.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row>
    <row r="100" spans="1:26" ht="13.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row>
    <row r="101" spans="1:26" ht="13.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row>
    <row r="102" spans="1:26" ht="13.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row>
    <row r="103" spans="1:26" ht="13.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row>
    <row r="104" spans="1:26" ht="13.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row>
    <row r="105" spans="1:26" ht="13.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row>
    <row r="106" spans="1:26" ht="13.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row>
    <row r="107" spans="1:26" ht="13.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row>
    <row r="108" spans="1:26" ht="13.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row>
    <row r="109" spans="1:26" ht="13.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row>
    <row r="110" spans="1:26" ht="13.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row>
    <row r="111" spans="1:26" ht="13.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row>
    <row r="112" spans="1:26" ht="13.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row>
    <row r="113" spans="1:26" ht="13.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row>
    <row r="114" spans="1:26" ht="13.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row>
    <row r="115" spans="1:26" ht="13.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row>
    <row r="116" spans="1:26" ht="13.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row>
    <row r="117" spans="1:26" ht="13.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row>
    <row r="118" spans="1:26" ht="13.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row>
    <row r="119" spans="1:26" ht="13.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row>
    <row r="120" spans="1:26" ht="13.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row>
    <row r="121" spans="1:26" ht="13.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row>
    <row r="122" spans="1:26" ht="13.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row>
    <row r="123" spans="1:26" ht="13.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row>
    <row r="124" spans="1:26" ht="13.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row>
    <row r="125" spans="1:26" ht="13.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row>
    <row r="126" spans="1:26" ht="13.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row>
    <row r="127" spans="1:26" ht="13.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row>
    <row r="128" spans="1:26" ht="13.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row>
    <row r="129" spans="1:26" ht="13.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row>
    <row r="130" spans="1:26" ht="13.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row>
    <row r="131" spans="1:26" ht="13.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row>
    <row r="132" spans="1:26" ht="13.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row>
    <row r="133" spans="1:26" ht="13.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row>
    <row r="134" spans="1:26" ht="13.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row>
    <row r="135" spans="1:26" ht="13.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row>
    <row r="136" spans="1:26" ht="13.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row>
    <row r="137" spans="1:26" ht="13.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row>
    <row r="138" spans="1:26" ht="13.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row>
    <row r="139" spans="1:26" ht="13.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row>
    <row r="140" spans="1:26" ht="13.5" customHeigh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row>
    <row r="141" spans="1:26" ht="13.5" customHeigh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row>
    <row r="142" spans="1:26" ht="13.5" customHeigh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row>
    <row r="143" spans="1:26" ht="13.5" customHeigh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row>
    <row r="144" spans="1:26" ht="13.5" customHeigh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row>
    <row r="145" spans="1:26" ht="13.5" customHeight="1">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row>
    <row r="146" spans="1:26" ht="13.5" customHeigh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row>
    <row r="147" spans="1:26" ht="13.5" customHeight="1">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row>
    <row r="148" spans="1:26" ht="13.5"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row>
    <row r="149" spans="1:26" ht="13.5"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row>
    <row r="150" spans="1:26" ht="13.5"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row>
    <row r="151" spans="1:26" ht="13.5"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row>
    <row r="152" spans="1:26" ht="13.5"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row>
    <row r="153" spans="1:26" ht="13.5"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row>
    <row r="154" spans="1:26" ht="13.5"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row>
    <row r="155" spans="1:26" ht="13.5"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row>
    <row r="156" spans="1:26" ht="13.5"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row>
    <row r="157" spans="1:26" ht="13.5"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row>
    <row r="158" spans="1:26" ht="13.5"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row>
    <row r="159" spans="1:26" ht="13.5"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row>
    <row r="160" spans="1:26" ht="13.5"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row>
    <row r="161" spans="1:26" ht="13.5"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row>
    <row r="162" spans="1:26" ht="13.5"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row>
    <row r="163" spans="1:26" ht="13.5"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row>
    <row r="164" spans="1:26" ht="13.5"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row>
    <row r="165" spans="1:26" ht="13.5"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row>
    <row r="166" spans="1:26" ht="13.5"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row>
    <row r="167" spans="1:26" ht="13.5"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row>
    <row r="168" spans="1:26" ht="13.5"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row>
    <row r="169" spans="1:26" ht="13.5"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row>
    <row r="170" spans="1:26" ht="13.5"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row>
    <row r="171" spans="1:26" ht="13.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row>
    <row r="172" spans="1:26" ht="13.5"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row>
    <row r="173" spans="1:26" ht="13.5"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row>
    <row r="174" spans="1:26" ht="13.5"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row>
    <row r="175" spans="1:26" ht="13.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row>
    <row r="176" spans="1:26" ht="13.5"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row>
    <row r="177" spans="1:26" ht="13.5"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row>
    <row r="178" spans="1:26" ht="13.5"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row>
    <row r="179" spans="1:26" ht="13.5"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row>
    <row r="180" spans="1:26" ht="13.5"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row>
    <row r="181" spans="1:26" ht="13.5"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row>
    <row r="182" spans="1:26" ht="13.5"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row>
    <row r="183" spans="1:26" ht="13.5"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row>
    <row r="184" spans="1:26" ht="13.5"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row>
    <row r="185" spans="1:26" ht="13.5"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row>
    <row r="186" spans="1:26" ht="13.5"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row>
    <row r="187" spans="1:26" ht="13.5"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row>
    <row r="188" spans="1:26" ht="13.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row>
    <row r="189" spans="1:26" ht="13.5"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row>
    <row r="190" spans="1:26" ht="13.5"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row>
    <row r="191" spans="1:26" ht="13.5"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row>
    <row r="192" spans="1:26" ht="13.5"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row>
    <row r="193" spans="1:26" ht="13.5"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row>
    <row r="194" spans="1:26" ht="13.5" customHeight="1">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row>
    <row r="195" spans="1:26" ht="13.5" customHeight="1">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row>
    <row r="196" spans="1:26" ht="13.5" customHeight="1">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row>
    <row r="197" spans="1:26" ht="13.5" customHeight="1">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row>
    <row r="198" spans="1:26" ht="13.5" customHeight="1">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row>
    <row r="199" spans="1:26" ht="13.5" customHeight="1">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row>
    <row r="200" spans="1:26" ht="13.5" customHeight="1">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row>
    <row r="201" spans="1:26" ht="13.5" customHeight="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row>
    <row r="202" spans="1:26" ht="13.5" customHeight="1">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row>
    <row r="203" spans="1:26" ht="13.5" customHeight="1">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row>
    <row r="204" spans="1:26" ht="13.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row>
    <row r="205" spans="1:26" ht="13.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row>
    <row r="206" spans="1:26" ht="13.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row>
    <row r="207" spans="1:26" ht="13.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row>
    <row r="208" spans="1:26" ht="13.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row>
    <row r="209" spans="1:26" ht="13.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row>
    <row r="210" spans="1:26" ht="13.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row>
    <row r="211" spans="1:26" ht="13.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row>
    <row r="212" spans="1:26" ht="13.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row>
    <row r="213" spans="1:26" ht="13.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row>
    <row r="214" spans="1:26" ht="13.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row>
    <row r="215" spans="1:26" ht="13.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row>
    <row r="216" spans="1:26" ht="13.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row>
    <row r="217" spans="1:26" ht="13.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row>
    <row r="218" spans="1:26" ht="13.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row>
    <row r="219" spans="1:26" ht="13.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row>
    <row r="220" spans="1:26" ht="13.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row>
    <row r="221" spans="1:26" ht="13.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row>
    <row r="222" spans="1:26" ht="13.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row>
    <row r="223" spans="1:26" ht="13.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row>
    <row r="224" spans="1:26" ht="13.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row>
    <row r="225" spans="1:26" ht="13.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row>
    <row r="226" spans="1:26" ht="13.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row>
    <row r="227" spans="1:26" ht="13.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row>
    <row r="228" spans="1:26" ht="13.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row>
    <row r="229" spans="1:26" ht="13.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row>
    <row r="230" spans="1:26" ht="13.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row>
    <row r="231" spans="1:26" ht="13.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row>
    <row r="232" spans="1:26" ht="13.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row>
    <row r="233" spans="1:26" ht="13.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row>
    <row r="234" spans="1:26" ht="13.5" customHeight="1">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row>
    <row r="235" spans="1:26" ht="13.5" customHeight="1">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row>
    <row r="236" spans="1:26" ht="13.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row>
    <row r="237" spans="1:26" ht="13.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row>
    <row r="238" spans="1:26" ht="13.5" customHeight="1">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row>
    <row r="239" spans="1:26" ht="13.5" customHeight="1">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row>
    <row r="240" spans="1:26" ht="13.5" customHeight="1">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row>
    <row r="241" spans="1:26" ht="13.5" customHeight="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row>
    <row r="242" spans="1:26" ht="13.5" customHeight="1">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row>
    <row r="243" spans="1:26" ht="13.5" customHeight="1">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row>
    <row r="244" spans="1:26" ht="13.5" customHeight="1">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row>
    <row r="245" spans="1:26" ht="13.5" customHeight="1">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row>
    <row r="246" spans="1:26" ht="13.5" customHeight="1">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row>
    <row r="247" spans="1:26" ht="13.5" customHeight="1">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row>
    <row r="248" spans="1:26" ht="13.5" customHeight="1">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row>
    <row r="249" spans="1:26" ht="13.5" customHeight="1">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row>
    <row r="250" spans="1:26" ht="13.5" customHeight="1">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row>
    <row r="251" spans="1:26" ht="13.5" customHeight="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row>
    <row r="252" spans="1:26" ht="13.5" customHeight="1">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row>
    <row r="253" spans="1:26" ht="13.5" customHeight="1">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row>
    <row r="254" spans="1:26" ht="13.5" customHeight="1">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row>
    <row r="255" spans="1:26" ht="13.5" customHeight="1">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row>
    <row r="256" spans="1:26" ht="13.5" customHeight="1">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row>
    <row r="257" spans="1:26" ht="13.5" customHeight="1">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row>
    <row r="258" spans="1:26" ht="13.5" customHeight="1">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row>
    <row r="259" spans="1:26" ht="13.5" customHeight="1">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row>
    <row r="260" spans="1:26" ht="13.5" customHeight="1">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row>
    <row r="261" spans="1:26" ht="13.5" customHeight="1">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row>
    <row r="262" spans="1:26" ht="13.5" customHeight="1">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row>
    <row r="263" spans="1:26" ht="13.5" customHeight="1">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row>
    <row r="264" spans="1:26" ht="13.5" customHeight="1">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row>
    <row r="265" spans="1:26" ht="13.5" customHeight="1">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row>
    <row r="266" spans="1:26" ht="13.5" customHeight="1">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row>
    <row r="267" spans="1:26" ht="13.5" customHeight="1">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row>
    <row r="268" spans="1:26" ht="13.5" customHeight="1">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row>
    <row r="269" spans="1:26" ht="13.5" customHeight="1">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row>
    <row r="270" spans="1:26" ht="13.5" customHeight="1">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row>
    <row r="271" spans="1:26" ht="13.5" customHeight="1">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row>
    <row r="272" spans="1:26" ht="13.5" customHeight="1">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row>
    <row r="273" spans="1:26" ht="13.5" customHeight="1">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row>
    <row r="274" spans="1:26" ht="13.5" customHeight="1">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row>
    <row r="275" spans="1:26" ht="13.5" customHeight="1">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row>
    <row r="276" spans="1:26" ht="13.5" customHeight="1">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row>
    <row r="277" spans="1:26" ht="13.5" customHeight="1">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row>
    <row r="278" spans="1:26" ht="13.5" customHeight="1">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row>
    <row r="279" spans="1:26" ht="13.5" customHeight="1">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row>
    <row r="280" spans="1:26" ht="13.5" customHeight="1">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row>
    <row r="281" spans="1:26" ht="13.5" customHeight="1">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row>
    <row r="282" spans="1:26" ht="13.5" customHeight="1">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row>
    <row r="283" spans="1:26" ht="13.5" customHeight="1">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row>
    <row r="284" spans="1:26" ht="13.5" customHeight="1">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row>
    <row r="285" spans="1:26" ht="13.5" customHeight="1">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row>
    <row r="286" spans="1:26" ht="13.5" customHeight="1">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row>
    <row r="287" spans="1:26" ht="13.5" customHeight="1">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row>
    <row r="288" spans="1:26" ht="13.5" customHeight="1">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row>
    <row r="289" spans="1:26" ht="13.5" customHeight="1">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row>
    <row r="290" spans="1:26" ht="13.5" customHeight="1">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row>
    <row r="291" spans="1:26" ht="13.5" customHeight="1">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row>
    <row r="292" spans="1:26" ht="13.5" customHeight="1">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row>
    <row r="293" spans="1:26" ht="13.5" customHeight="1">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row>
    <row r="294" spans="1:26" ht="13.5" customHeight="1">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row>
    <row r="295" spans="1:26" ht="13.5" customHeight="1">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row>
    <row r="296" spans="1:26" ht="13.5" customHeight="1">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row>
    <row r="297" spans="1:26" ht="13.5" customHeight="1">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row>
    <row r="298" spans="1:26" ht="13.5" customHeight="1">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row>
    <row r="299" spans="1:26" ht="13.5" customHeight="1">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row>
    <row r="300" spans="1:26" ht="13.5" customHeight="1">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row>
    <row r="301" spans="1:26" ht="13.5" customHeight="1">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row>
    <row r="302" spans="1:26" ht="13.5" customHeight="1">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row>
    <row r="303" spans="1:26" ht="13.5" customHeight="1">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row>
    <row r="304" spans="1:26" ht="13.5" customHeight="1">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row>
    <row r="305" spans="1:26" ht="13.5" customHeight="1">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row>
    <row r="306" spans="1:26" ht="13.5" customHeight="1">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row>
    <row r="307" spans="1:26" ht="13.5" customHeight="1">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row>
    <row r="308" spans="1:26" ht="13.5" customHeight="1">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row>
    <row r="309" spans="1:26" ht="13.5" customHeight="1">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row>
    <row r="310" spans="1:26" ht="13.5" customHeight="1">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row>
    <row r="311" spans="1:26" ht="13.5" customHeight="1">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row>
    <row r="312" spans="1:26" ht="13.5" customHeight="1">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row>
    <row r="313" spans="1:26" ht="13.5" customHeight="1">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row>
    <row r="314" spans="1:26" ht="13.5" customHeight="1">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row>
    <row r="315" spans="1:26" ht="13.5" customHeight="1">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row>
    <row r="316" spans="1:26" ht="13.5" customHeight="1">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row>
    <row r="317" spans="1:26" ht="13.5" customHeight="1">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row>
    <row r="318" spans="1:26" ht="13.5" customHeight="1">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row>
    <row r="319" spans="1:26" ht="13.5" customHeight="1">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row>
    <row r="320" spans="1:26" ht="13.5" customHeight="1">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row>
    <row r="321" spans="1:26" ht="13.5" customHeight="1">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row>
    <row r="322" spans="1:26" ht="13.5" customHeight="1">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row>
    <row r="323" spans="1:26" ht="13.5" customHeight="1">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row>
    <row r="324" spans="1:26" ht="13.5" customHeight="1">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row>
    <row r="325" spans="1:26" ht="13.5" customHeight="1">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row>
    <row r="326" spans="1:26" ht="13.5" customHeight="1">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row>
    <row r="327" spans="1:26" ht="13.5" customHeight="1">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row>
    <row r="328" spans="1:26" ht="13.5" customHeight="1">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row>
    <row r="329" spans="1:26" ht="13.5" customHeight="1">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row>
    <row r="330" spans="1:26" ht="13.5" customHeight="1">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row>
    <row r="331" spans="1:26" ht="13.5" customHeight="1">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row>
    <row r="332" spans="1:26" ht="13.5" customHeight="1">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row>
    <row r="333" spans="1:26" ht="13.5" customHeight="1">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row>
    <row r="334" spans="1:26" ht="13.5" customHeight="1">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row>
    <row r="335" spans="1:26" ht="13.5" customHeight="1">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row>
    <row r="336" spans="1:26" ht="13.5" customHeight="1">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row>
    <row r="337" spans="1:26" ht="13.5" customHeight="1">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row>
    <row r="338" spans="1:26" ht="13.5" customHeight="1">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row>
    <row r="339" spans="1:26" ht="13.5" customHeight="1">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row>
    <row r="340" spans="1:26" ht="13.5" customHeight="1">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row>
    <row r="341" spans="1:26" ht="13.5" customHeight="1">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row>
    <row r="342" spans="1:26" ht="13.5" customHeight="1">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row>
    <row r="343" spans="1:26" ht="13.5" customHeight="1">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row>
    <row r="344" spans="1:26" ht="13.5" customHeight="1">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row>
    <row r="345" spans="1:26" ht="13.5" customHeight="1">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row>
    <row r="346" spans="1:26" ht="13.5" customHeight="1">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row>
    <row r="347" spans="1:26" ht="13.5" customHeight="1">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row>
    <row r="348" spans="1:26" ht="13.5" customHeight="1">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row>
    <row r="349" spans="1:26" ht="13.5" customHeight="1">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row>
    <row r="350" spans="1:26" ht="13.5" customHeight="1">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row>
    <row r="351" spans="1:26" ht="13.5" customHeight="1">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row>
    <row r="352" spans="1:26" ht="13.5" customHeight="1">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row>
    <row r="353" spans="1:26" ht="13.5" customHeight="1">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row>
    <row r="354" spans="1:26" ht="13.5" customHeight="1">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row>
    <row r="355" spans="1:26" ht="13.5" customHeight="1">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row>
    <row r="356" spans="1:26" ht="13.5" customHeight="1">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row>
    <row r="357" spans="1:26" ht="13.5" customHeight="1">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row>
    <row r="358" spans="1:26" ht="13.5" customHeight="1">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row>
    <row r="359" spans="1:26" ht="13.5" customHeight="1">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row>
    <row r="360" spans="1:26" ht="13.5" customHeight="1">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row>
    <row r="361" spans="1:26" ht="13.5" customHeight="1">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row>
    <row r="362" spans="1:26" ht="13.5" customHeight="1">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row>
    <row r="363" spans="1:26" ht="13.5" customHeight="1">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row>
    <row r="364" spans="1:26" ht="13.5" customHeight="1">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row>
    <row r="365" spans="1:26" ht="13.5" customHeight="1">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row>
    <row r="366" spans="1:26" ht="13.5" customHeight="1">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row>
    <row r="367" spans="1:26" ht="13.5" customHeight="1">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row>
    <row r="368" spans="1:26" ht="13.5" customHeight="1">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row>
    <row r="369" spans="1:26" ht="13.5" customHeight="1">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row>
    <row r="370" spans="1:26" ht="13.5" customHeight="1">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row>
    <row r="371" spans="1:26" ht="13.5" customHeight="1">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row>
    <row r="372" spans="1:26" ht="13.5" customHeight="1">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row>
    <row r="373" spans="1:26" ht="13.5" customHeight="1">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row>
    <row r="374" spans="1:26" ht="13.5" customHeight="1">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row>
    <row r="375" spans="1:26" ht="13.5" customHeight="1">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row>
    <row r="376" spans="1:26" ht="13.5" customHeight="1">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row>
    <row r="377" spans="1:26" ht="13.5" customHeight="1">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row>
    <row r="378" spans="1:26" ht="13.5" customHeight="1">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row>
    <row r="379" spans="1:26" ht="13.5" customHeight="1">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row>
    <row r="380" spans="1:26" ht="13.5" customHeight="1">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row>
    <row r="381" spans="1:26" ht="13.5" customHeight="1">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row>
    <row r="382" spans="1:26" ht="13.5" customHeight="1">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row>
    <row r="383" spans="1:26" ht="13.5" customHeight="1">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row>
    <row r="384" spans="1:26" ht="13.5" customHeight="1">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row>
    <row r="385" spans="1:26" ht="13.5" customHeight="1">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row>
    <row r="386" spans="1:26" ht="13.5" customHeight="1">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row>
    <row r="387" spans="1:26" ht="13.5" customHeight="1">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row>
    <row r="388" spans="1:26" ht="13.5" customHeight="1">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row>
    <row r="389" spans="1:26" ht="13.5" customHeight="1">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row>
    <row r="390" spans="1:26" ht="13.5" customHeight="1">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row>
    <row r="391" spans="1:26" ht="13.5" customHeight="1">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row>
    <row r="392" spans="1:26" ht="13.5" customHeight="1">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row>
    <row r="393" spans="1:26" ht="13.5" customHeight="1">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row>
    <row r="394" spans="1:26" ht="13.5" customHeight="1">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row>
    <row r="395" spans="1:26" ht="13.5" customHeight="1">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row>
    <row r="396" spans="1:26" ht="13.5" customHeight="1">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row>
    <row r="397" spans="1:26" ht="13.5" customHeight="1">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row>
    <row r="398" spans="1:26" ht="13.5" customHeight="1">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row>
    <row r="399" spans="1:26" ht="13.5" customHeight="1">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row>
    <row r="400" spans="1:26" ht="13.5" customHeight="1">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row>
    <row r="401" spans="1:26" ht="13.5" customHeight="1">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row>
    <row r="402" spans="1:26" ht="13.5" customHeight="1">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row>
    <row r="403" spans="1:26" ht="13.5" customHeight="1">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row>
    <row r="404" spans="1:26" ht="13.5" customHeight="1">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row>
    <row r="405" spans="1:26" ht="13.5" customHeight="1">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row>
    <row r="406" spans="1:26" ht="13.5" customHeight="1">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row>
    <row r="407" spans="1:26" ht="13.5" customHeight="1">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row>
    <row r="408" spans="1:26" ht="13.5" customHeight="1">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row>
    <row r="409" spans="1:26" ht="13.5" customHeight="1">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row>
    <row r="410" spans="1:26" ht="13.5" customHeight="1">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row>
    <row r="411" spans="1:26" ht="13.5" customHeight="1">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row>
    <row r="412" spans="1:26" ht="13.5" customHeight="1">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row>
    <row r="413" spans="1:26" ht="13.5" customHeight="1">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row>
    <row r="414" spans="1:26" ht="13.5" customHeight="1">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row>
    <row r="415" spans="1:26" ht="13.5" customHeight="1">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row>
    <row r="416" spans="1:26" ht="13.5" customHeight="1">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row>
    <row r="417" spans="1:26" ht="13.5" customHeight="1">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row>
    <row r="418" spans="1:26" ht="13.5" customHeight="1">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row>
    <row r="419" spans="1:26" ht="13.5" customHeight="1">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row>
    <row r="420" spans="1:26" ht="13.5" customHeight="1">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row>
    <row r="421" spans="1:26" ht="13.5" customHeight="1">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row>
    <row r="422" spans="1:26" ht="13.5" customHeight="1">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row>
    <row r="423" spans="1:26" ht="13.5" customHeight="1">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row>
    <row r="424" spans="1:26" ht="13.5" customHeight="1">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row>
    <row r="425" spans="1:26" ht="13.5" customHeight="1">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row>
    <row r="426" spans="1:26" ht="13.5" customHeight="1">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row>
    <row r="427" spans="1:26" ht="13.5" customHeight="1">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row>
    <row r="428" spans="1:26" ht="13.5" customHeight="1">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row>
    <row r="429" spans="1:26" ht="13.5" customHeight="1">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row>
    <row r="430" spans="1:26" ht="13.5" customHeight="1">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row>
    <row r="431" spans="1:26" ht="13.5" customHeight="1">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row>
    <row r="432" spans="1:26" ht="13.5" customHeight="1">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row>
    <row r="433" spans="1:26" ht="13.5" customHeight="1">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row>
    <row r="434" spans="1:26" ht="13.5" customHeight="1">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row>
    <row r="435" spans="1:26" ht="13.5" customHeight="1">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row>
    <row r="436" spans="1:26" ht="13.5" customHeight="1">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row>
    <row r="437" spans="1:26" ht="13.5" customHeight="1">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row>
    <row r="438" spans="1:26" ht="13.5" customHeight="1">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row>
    <row r="439" spans="1:26" ht="13.5" customHeight="1">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row>
    <row r="440" spans="1:26" ht="13.5" customHeight="1">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row>
    <row r="441" spans="1:26" ht="13.5" customHeight="1">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row>
    <row r="442" spans="1:26" ht="13.5" customHeight="1">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row>
    <row r="443" spans="1:26" ht="13.5" customHeight="1">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row>
    <row r="444" spans="1:26" ht="13.5" customHeight="1">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row>
    <row r="445" spans="1:26" ht="13.5" customHeight="1">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row>
    <row r="446" spans="1:26" ht="13.5" customHeight="1">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row>
    <row r="447" spans="1:26" ht="13.5" customHeight="1">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row>
    <row r="448" spans="1:26" ht="13.5" customHeight="1">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row>
    <row r="449" spans="1:26" ht="13.5" customHeight="1">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row>
    <row r="450" spans="1:26" ht="13.5" customHeight="1">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row>
    <row r="451" spans="1:26" ht="13.5" customHeight="1">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row>
    <row r="452" spans="1:26" ht="13.5" customHeight="1">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row>
    <row r="453" spans="1:26" ht="13.5" customHeight="1">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row>
    <row r="454" spans="1:26" ht="13.5" customHeight="1">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row>
    <row r="455" spans="1:26" ht="13.5" customHeight="1">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row>
    <row r="456" spans="1:26" ht="13.5" customHeight="1">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row>
    <row r="457" spans="1:26" ht="13.5" customHeight="1">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row>
    <row r="458" spans="1:26" ht="13.5" customHeight="1">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row>
    <row r="459" spans="1:26" ht="13.5" customHeight="1">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row>
    <row r="460" spans="1:26" ht="13.5" customHeight="1">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row>
    <row r="461" spans="1:26" ht="13.5" customHeight="1">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row>
    <row r="462" spans="1:26" ht="13.5" customHeight="1">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row>
    <row r="463" spans="1:26" ht="13.5" customHeight="1">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row>
    <row r="464" spans="1:26" ht="13.5" customHeight="1">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row>
    <row r="465" spans="1:26" ht="13.5" customHeight="1">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row>
    <row r="466" spans="1:26" ht="13.5" customHeight="1">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row>
    <row r="467" spans="1:26" ht="13.5" customHeight="1">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row>
    <row r="468" spans="1:26" ht="13.5" customHeight="1">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row>
    <row r="469" spans="1:26" ht="13.5" customHeight="1">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row>
    <row r="470" spans="1:26" ht="13.5" customHeight="1">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row>
    <row r="471" spans="1:26" ht="13.5" customHeight="1">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row>
    <row r="472" spans="1:26" ht="13.5" customHeight="1">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row>
    <row r="473" spans="1:26" ht="13.5" customHeight="1">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row>
    <row r="474" spans="1:26" ht="13.5" customHeight="1">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row>
    <row r="475" spans="1:26" ht="13.5" customHeight="1">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row>
    <row r="476" spans="1:26" ht="13.5" customHeight="1">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row>
    <row r="477" spans="1:26" ht="13.5" customHeight="1">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row>
    <row r="478" spans="1:26" ht="13.5" customHeight="1">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row>
    <row r="479" spans="1:26" ht="13.5" customHeight="1">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row>
    <row r="480" spans="1:26" ht="13.5" customHeight="1">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row>
    <row r="481" spans="1:26" ht="13.5" customHeight="1">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row>
    <row r="482" spans="1:26" ht="13.5" customHeight="1">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row>
    <row r="483" spans="1:26" ht="13.5" customHeight="1">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row>
    <row r="484" spans="1:26" ht="13.5" customHeight="1">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row>
    <row r="485" spans="1:26" ht="13.5" customHeight="1">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row>
    <row r="486" spans="1:26" ht="13.5" customHeight="1">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row>
    <row r="487" spans="1:26" ht="13.5" customHeight="1">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row>
    <row r="488" spans="1:26" ht="13.5" customHeight="1">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row>
    <row r="489" spans="1:26" ht="13.5" customHeight="1">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row>
    <row r="490" spans="1:26" ht="13.5" customHeight="1">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row>
    <row r="491" spans="1:26" ht="13.5" customHeight="1">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row>
    <row r="492" spans="1:26" ht="13.5" customHeight="1">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row>
    <row r="493" spans="1:26" ht="13.5" customHeight="1">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row>
    <row r="494" spans="1:26" ht="13.5" customHeight="1">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row>
    <row r="495" spans="1:26" ht="13.5" customHeight="1">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row>
    <row r="496" spans="1:26" ht="13.5" customHeight="1">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row>
    <row r="497" spans="1:26" ht="13.5" customHeight="1">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row>
    <row r="498" spans="1:26" ht="13.5" customHeight="1">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row>
    <row r="499" spans="1:26" ht="13.5" customHeight="1">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row>
    <row r="500" spans="1:26" ht="13.5" customHeight="1">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row>
    <row r="501" spans="1:26" ht="13.5" customHeight="1">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row>
    <row r="502" spans="1:26" ht="13.5" customHeight="1">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row>
    <row r="503" spans="1:26" ht="13.5" customHeight="1">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row>
    <row r="504" spans="1:26" ht="13.5" customHeight="1">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row>
    <row r="505" spans="1:26" ht="13.5" customHeight="1">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row>
    <row r="506" spans="1:26" ht="13.5" customHeight="1">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row>
    <row r="507" spans="1:26" ht="13.5" customHeight="1">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row>
    <row r="508" spans="1:26" ht="13.5" customHeight="1">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row>
    <row r="509" spans="1:26" ht="13.5" customHeight="1">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row>
    <row r="510" spans="1:26" ht="13.5" customHeight="1">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row>
    <row r="511" spans="1:26" ht="13.5" customHeight="1">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row>
    <row r="512" spans="1:26" ht="13.5" customHeight="1">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row>
    <row r="513" spans="1:26" ht="13.5" customHeight="1">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row>
    <row r="514" spans="1:26" ht="13.5" customHeight="1">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row>
    <row r="515" spans="1:26" ht="13.5" customHeight="1">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row>
    <row r="516" spans="1:26" ht="13.5" customHeight="1">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row>
    <row r="517" spans="1:26" ht="13.5" customHeight="1">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row>
    <row r="518" spans="1:26" ht="13.5" customHeight="1">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row>
    <row r="519" spans="1:26" ht="13.5" customHeight="1">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row>
    <row r="520" spans="1:26" ht="13.5" customHeight="1">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row>
    <row r="521" spans="1:26" ht="13.5" customHeight="1">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row>
    <row r="522" spans="1:26" ht="13.5" customHeight="1">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row>
    <row r="523" spans="1:26" ht="13.5" customHeight="1">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row>
    <row r="524" spans="1:26" ht="13.5" customHeight="1">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row>
    <row r="525" spans="1:26" ht="13.5" customHeight="1">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row>
    <row r="526" spans="1:26" ht="13.5" customHeight="1">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row>
    <row r="527" spans="1:26" ht="13.5" customHeight="1">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row>
    <row r="528" spans="1:26" ht="13.5" customHeight="1">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row>
    <row r="529" spans="1:26" ht="13.5" customHeight="1">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row>
    <row r="530" spans="1:26" ht="13.5" customHeight="1">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row>
    <row r="531" spans="1:26" ht="13.5" customHeight="1">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row>
    <row r="532" spans="1:26" ht="13.5" customHeight="1">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row>
    <row r="533" spans="1:26" ht="13.5" customHeight="1">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row>
    <row r="534" spans="1:26" ht="13.5" customHeight="1">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row>
    <row r="535" spans="1:26" ht="13.5" customHeight="1">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row>
    <row r="536" spans="1:26" ht="13.5" customHeight="1">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row>
    <row r="537" spans="1:26" ht="13.5" customHeight="1">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row>
    <row r="538" spans="1:26" ht="13.5" customHeight="1">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row>
    <row r="539" spans="1:26" ht="13.5" customHeight="1">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row>
    <row r="540" spans="1:26" ht="13.5" customHeight="1">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row>
    <row r="541" spans="1:26" ht="13.5" customHeight="1">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row>
    <row r="542" spans="1:26" ht="13.5" customHeight="1">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row>
    <row r="543" spans="1:26" ht="13.5" customHeight="1">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row>
    <row r="544" spans="1:26" ht="13.5" customHeight="1">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row>
    <row r="545" spans="1:26" ht="13.5" customHeight="1">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row>
    <row r="546" spans="1:26" ht="13.5" customHeight="1">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row>
    <row r="547" spans="1:26" ht="13.5" customHeight="1">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row>
    <row r="548" spans="1:26" ht="13.5" customHeight="1">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row>
    <row r="549" spans="1:26" ht="13.5" customHeight="1">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row>
    <row r="550" spans="1:26" ht="13.5" customHeight="1">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row>
    <row r="551" spans="1:26" ht="13.5" customHeight="1">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row>
    <row r="552" spans="1:26" ht="13.5" customHeight="1">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row>
    <row r="553" spans="1:26" ht="13.5" customHeight="1">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row>
    <row r="554" spans="1:26" ht="13.5" customHeight="1">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row>
    <row r="555" spans="1:26" ht="13.5" customHeight="1">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row>
    <row r="556" spans="1:26" ht="13.5" customHeight="1">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row>
    <row r="557" spans="1:26" ht="13.5" customHeight="1">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row>
    <row r="558" spans="1:26" ht="13.5" customHeight="1">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row>
    <row r="559" spans="1:26" ht="13.5" customHeight="1">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row>
    <row r="560" spans="1:26" ht="13.5" customHeight="1">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row>
    <row r="561" spans="1:26" ht="13.5" customHeight="1">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row>
    <row r="562" spans="1:26" ht="13.5" customHeight="1">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row>
    <row r="563" spans="1:26" ht="13.5" customHeight="1">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row>
    <row r="564" spans="1:26" ht="13.5" customHeight="1">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row>
    <row r="565" spans="1:26" ht="13.5" customHeight="1">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row>
    <row r="566" spans="1:26" ht="13.5" customHeight="1">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row>
    <row r="567" spans="1:26" ht="13.5" customHeight="1">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row>
    <row r="568" spans="1:26" ht="13.5" customHeight="1">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row>
    <row r="569" spans="1:26" ht="13.5" customHeight="1">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row>
    <row r="570" spans="1:26" ht="13.5" customHeight="1">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row>
    <row r="571" spans="1:26" ht="13.5" customHeight="1">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row>
    <row r="572" spans="1:26" ht="13.5" customHeight="1">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row>
    <row r="573" spans="1:26" ht="13.5" customHeight="1">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row>
    <row r="574" spans="1:26" ht="13.5" customHeight="1">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row>
    <row r="575" spans="1:26" ht="13.5" customHeight="1">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row>
    <row r="576" spans="1:26" ht="13.5" customHeight="1">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row>
    <row r="577" spans="1:26" ht="13.5" customHeight="1">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row>
    <row r="578" spans="1:26" ht="13.5" customHeight="1">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row>
    <row r="579" spans="1:26" ht="13.5" customHeight="1">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row>
    <row r="580" spans="1:26" ht="13.5" customHeight="1">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row>
    <row r="581" spans="1:26" ht="13.5" customHeight="1">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row>
    <row r="582" spans="1:26" ht="13.5" customHeight="1">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row>
    <row r="583" spans="1:26" ht="13.5" customHeight="1">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row>
    <row r="584" spans="1:26" ht="13.5" customHeight="1">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row>
    <row r="585" spans="1:26" ht="13.5" customHeight="1">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row>
    <row r="586" spans="1:26" ht="13.5" customHeight="1">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row>
    <row r="587" spans="1:26" ht="13.5" customHeight="1">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row>
    <row r="588" spans="1:26" ht="13.5" customHeight="1">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row>
    <row r="589" spans="1:26" ht="13.5" customHeight="1">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row>
    <row r="590" spans="1:26" ht="13.5" customHeight="1">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row>
    <row r="591" spans="1:26" ht="13.5" customHeight="1">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row>
    <row r="592" spans="1:26" ht="13.5" customHeight="1">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row>
    <row r="593" spans="1:26" ht="13.5" customHeight="1">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row>
    <row r="594" spans="1:26" ht="13.5" customHeight="1">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row>
    <row r="595" spans="1:26" ht="13.5" customHeight="1">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row>
    <row r="596" spans="1:26" ht="13.5" customHeight="1">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row>
    <row r="597" spans="1:26" ht="13.5" customHeight="1">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row>
    <row r="598" spans="1:26" ht="13.5" customHeight="1">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row>
    <row r="599" spans="1:26" ht="13.5" customHeight="1">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row>
    <row r="600" spans="1:26" ht="13.5" customHeight="1">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row>
    <row r="601" spans="1:26" ht="13.5" customHeight="1">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row>
    <row r="602" spans="1:26" ht="13.5" customHeight="1">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row>
    <row r="603" spans="1:26" ht="13.5" customHeight="1">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row>
    <row r="604" spans="1:26" ht="13.5" customHeight="1">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row>
    <row r="605" spans="1:26" ht="13.5" customHeight="1">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row>
    <row r="606" spans="1:26" ht="13.5" customHeight="1">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row>
    <row r="607" spans="1:26" ht="13.5" customHeight="1">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row>
    <row r="608" spans="1:26" ht="13.5" customHeight="1">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row>
    <row r="609" spans="1:26" ht="13.5" customHeight="1">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row>
    <row r="610" spans="1:26" ht="13.5" customHeight="1">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row>
    <row r="611" spans="1:26" ht="13.5" customHeight="1">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row>
    <row r="612" spans="1:26" ht="13.5" customHeight="1">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row>
    <row r="613" spans="1:26" ht="13.5" customHeight="1">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row>
    <row r="614" spans="1:26" ht="13.5" customHeight="1">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row>
    <row r="615" spans="1:26" ht="13.5" customHeight="1">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row>
    <row r="616" spans="1:26" ht="13.5" customHeight="1">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row>
    <row r="617" spans="1:26" ht="13.5" customHeight="1">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row>
    <row r="618" spans="1:26" ht="13.5" customHeight="1">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row>
    <row r="619" spans="1:26" ht="13.5" customHeight="1">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row>
    <row r="620" spans="1:26" ht="13.5" customHeight="1">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row>
    <row r="621" spans="1:26" ht="13.5" customHeight="1">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row>
    <row r="622" spans="1:26" ht="13.5" customHeight="1">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row>
    <row r="623" spans="1:26" ht="13.5" customHeight="1">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row>
    <row r="624" spans="1:26" ht="13.5" customHeight="1">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row>
    <row r="625" spans="1:26" ht="13.5" customHeight="1">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row>
    <row r="626" spans="1:26" ht="13.5" customHeight="1">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row>
    <row r="627" spans="1:26" ht="13.5" customHeight="1">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row>
    <row r="628" spans="1:26" ht="13.5" customHeight="1">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row>
    <row r="629" spans="1:26" ht="13.5" customHeight="1">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row>
    <row r="630" spans="1:26" ht="13.5" customHeight="1">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row>
    <row r="631" spans="1:26" ht="13.5" customHeight="1">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row>
    <row r="632" spans="1:26" ht="13.5" customHeight="1">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row>
    <row r="633" spans="1:26" ht="13.5" customHeight="1">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row>
    <row r="634" spans="1:26" ht="13.5" customHeight="1">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row>
    <row r="635" spans="1:26" ht="13.5" customHeight="1">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row>
    <row r="636" spans="1:26" ht="13.5" customHeight="1">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row>
    <row r="637" spans="1:26" ht="13.5" customHeight="1">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row>
    <row r="638" spans="1:26" ht="13.5" customHeight="1">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row>
    <row r="639" spans="1:26" ht="13.5" customHeight="1">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row>
    <row r="640" spans="1:26" ht="13.5" customHeight="1">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row>
    <row r="641" spans="1:26" ht="13.5" customHeight="1">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row>
    <row r="642" spans="1:26" ht="13.5" customHeight="1">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row>
    <row r="643" spans="1:26" ht="13.5" customHeight="1">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row>
    <row r="644" spans="1:26" ht="13.5" customHeight="1">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row>
    <row r="645" spans="1:26" ht="13.5" customHeight="1">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row>
    <row r="646" spans="1:26" ht="13.5" customHeight="1">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row>
    <row r="647" spans="1:26" ht="13.5" customHeight="1">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row>
    <row r="648" spans="1:26" ht="13.5" customHeight="1">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row>
    <row r="649" spans="1:26" ht="13.5" customHeight="1">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row>
    <row r="650" spans="1:26" ht="13.5" customHeight="1">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row>
    <row r="651" spans="1:26" ht="13.5" customHeight="1">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row>
    <row r="652" spans="1:26" ht="13.5" customHeight="1">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row>
    <row r="653" spans="1:26" ht="13.5" customHeight="1">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row>
    <row r="654" spans="1:26" ht="13.5" customHeight="1">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row>
    <row r="655" spans="1:26" ht="13.5" customHeight="1">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row>
    <row r="656" spans="1:26" ht="13.5" customHeight="1">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row>
    <row r="657" spans="1:26" ht="13.5" customHeight="1">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row>
    <row r="658" spans="1:26" ht="13.5" customHeight="1">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row>
    <row r="659" spans="1:26" ht="13.5" customHeight="1">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row>
    <row r="660" spans="1:26" ht="13.5" customHeight="1">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row>
    <row r="661" spans="1:26" ht="13.5" customHeight="1">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row>
    <row r="662" spans="1:26" ht="13.5" customHeight="1">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row>
    <row r="663" spans="1:26" ht="13.5" customHeight="1">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row>
    <row r="664" spans="1:26" ht="13.5" customHeight="1">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row>
    <row r="665" spans="1:26" ht="13.5" customHeight="1">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row>
    <row r="666" spans="1:26" ht="13.5" customHeight="1">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row>
    <row r="667" spans="1:26" ht="13.5" customHeight="1">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row>
    <row r="668" spans="1:26" ht="13.5" customHeight="1">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row>
    <row r="669" spans="1:26" ht="13.5" customHeight="1">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row>
    <row r="670" spans="1:26" ht="13.5" customHeight="1">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row>
    <row r="671" spans="1:26" ht="13.5" customHeight="1">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row>
    <row r="672" spans="1:26" ht="13.5" customHeight="1">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row>
    <row r="673" spans="1:26" ht="13.5" customHeight="1">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row>
    <row r="674" spans="1:26" ht="13.5" customHeight="1">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row>
    <row r="675" spans="1:26" ht="13.5" customHeight="1">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row>
    <row r="676" spans="1:26" ht="13.5" customHeight="1">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row>
    <row r="677" spans="1:26" ht="13.5" customHeight="1">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row>
    <row r="678" spans="1:26" ht="13.5" customHeight="1">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row>
    <row r="679" spans="1:26" ht="13.5" customHeight="1">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row>
    <row r="680" spans="1:26" ht="13.5" customHeight="1">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row>
    <row r="681" spans="1:26" ht="13.5" customHeight="1">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row>
    <row r="682" spans="1:26" ht="13.5" customHeight="1">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row>
    <row r="683" spans="1:26" ht="13.5" customHeight="1">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row>
    <row r="684" spans="1:26" ht="13.5" customHeight="1">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row>
    <row r="685" spans="1:26" ht="13.5" customHeight="1">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row>
    <row r="686" spans="1:26" ht="13.5" customHeight="1">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row>
    <row r="687" spans="1:26" ht="13.5" customHeight="1">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row>
    <row r="688" spans="1:26" ht="13.5" customHeight="1">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row>
    <row r="689" spans="1:26" ht="13.5" customHeight="1">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row>
    <row r="690" spans="1:26" ht="13.5" customHeight="1">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row>
    <row r="691" spans="1:26" ht="13.5" customHeight="1">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row>
    <row r="692" spans="1:26" ht="13.5" customHeight="1">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row>
    <row r="693" spans="1:26" ht="13.5" customHeight="1">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row>
    <row r="694" spans="1:26" ht="13.5" customHeight="1">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row>
    <row r="695" spans="1:26" ht="13.5" customHeight="1">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row>
    <row r="696" spans="1:26" ht="13.5" customHeight="1">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row>
    <row r="697" spans="1:26" ht="13.5" customHeight="1">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row>
    <row r="698" spans="1:26" ht="13.5" customHeight="1">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row>
    <row r="699" spans="1:26" ht="13.5" customHeight="1">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row>
    <row r="700" spans="1:26" ht="13.5" customHeight="1">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row>
    <row r="701" spans="1:26" ht="13.5" customHeight="1">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row>
    <row r="702" spans="1:26" ht="13.5" customHeight="1">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row>
    <row r="703" spans="1:26" ht="13.5" customHeight="1">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row>
    <row r="704" spans="1:26" ht="13.5" customHeight="1">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row>
    <row r="705" spans="1:26" ht="13.5" customHeight="1">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row>
    <row r="706" spans="1:26" ht="13.5" customHeight="1">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row>
    <row r="707" spans="1:26" ht="13.5" customHeight="1">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row>
    <row r="708" spans="1:26" ht="13.5" customHeight="1">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row>
    <row r="709" spans="1:26" ht="13.5" customHeight="1">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row>
    <row r="710" spans="1:26" ht="13.5" customHeight="1">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row>
    <row r="711" spans="1:26" ht="13.5" customHeight="1">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row>
    <row r="712" spans="1:26" ht="13.5" customHeight="1">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row>
    <row r="713" spans="1:26" ht="13.5" customHeight="1">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row>
    <row r="714" spans="1:26" ht="13.5" customHeight="1">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row>
    <row r="715" spans="1:26" ht="13.5" customHeight="1">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row>
    <row r="716" spans="1:26" ht="13.5" customHeight="1">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row>
    <row r="717" spans="1:26" ht="13.5" customHeight="1">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row>
    <row r="718" spans="1:26" ht="13.5" customHeight="1">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row>
    <row r="719" spans="1:26" ht="13.5" customHeight="1">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row>
    <row r="720" spans="1:26" ht="13.5" customHeight="1">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row>
    <row r="721" spans="1:26" ht="13.5" customHeight="1">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row>
    <row r="722" spans="1:26" ht="13.5" customHeight="1">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row>
    <row r="723" spans="1:26" ht="13.5" customHeight="1">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row>
    <row r="724" spans="1:26" ht="13.5" customHeight="1">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row>
    <row r="725" spans="1:26" ht="13.5" customHeight="1">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row>
    <row r="726" spans="1:26" ht="13.5" customHeight="1">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row>
    <row r="727" spans="1:26" ht="13.5" customHeight="1">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row>
    <row r="728" spans="1:26" ht="13.5" customHeight="1">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row>
    <row r="729" spans="1:26" ht="13.5" customHeight="1">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row>
    <row r="730" spans="1:26" ht="13.5" customHeight="1">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row>
    <row r="731" spans="1:26" ht="13.5" customHeight="1">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row>
    <row r="732" spans="1:26" ht="13.5" customHeight="1">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row>
    <row r="733" spans="1:26" ht="13.5" customHeight="1">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row>
    <row r="734" spans="1:26" ht="13.5" customHeight="1">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row>
    <row r="735" spans="1:26" ht="13.5" customHeight="1">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row>
    <row r="736" spans="1:26" ht="13.5" customHeight="1">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row>
    <row r="737" spans="1:26" ht="13.5" customHeight="1">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row>
    <row r="738" spans="1:26" ht="13.5" customHeight="1">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row>
    <row r="739" spans="1:26" ht="13.5" customHeight="1">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row>
    <row r="740" spans="1:26" ht="13.5" customHeight="1">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row>
    <row r="741" spans="1:26" ht="13.5" customHeight="1">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row>
    <row r="742" spans="1:26" ht="13.5" customHeight="1">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row>
    <row r="743" spans="1:26" ht="13.5" customHeight="1">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row>
    <row r="744" spans="1:26" ht="13.5" customHeight="1">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row>
    <row r="745" spans="1:26" ht="13.5" customHeight="1">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row>
    <row r="746" spans="1:26" ht="13.5" customHeight="1">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row>
    <row r="747" spans="1:26" ht="13.5" customHeight="1">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row>
    <row r="748" spans="1:26" ht="13.5" customHeight="1">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row>
    <row r="749" spans="1:26" ht="13.5" customHeight="1">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row>
    <row r="750" spans="1:26" ht="13.5" customHeight="1">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row>
    <row r="751" spans="1:26" ht="13.5" customHeight="1">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row>
    <row r="752" spans="1:26" ht="13.5" customHeight="1">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row>
    <row r="753" spans="1:26" ht="13.5" customHeight="1">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row>
    <row r="754" spans="1:26" ht="13.5" customHeight="1">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row>
    <row r="755" spans="1:26" ht="13.5" customHeight="1">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row>
    <row r="756" spans="1:26" ht="13.5" customHeight="1">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row>
    <row r="757" spans="1:26" ht="13.5" customHeight="1">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row>
    <row r="758" spans="1:26" ht="13.5" customHeight="1">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row>
    <row r="759" spans="1:26" ht="13.5" customHeight="1">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row>
    <row r="760" spans="1:26" ht="13.5" customHeight="1">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row>
    <row r="761" spans="1:26" ht="13.5" customHeight="1">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row>
    <row r="762" spans="1:26" ht="13.5" customHeight="1">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row>
    <row r="763" spans="1:26" ht="13.5" customHeight="1">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row>
    <row r="764" spans="1:26" ht="13.5" customHeight="1">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row>
    <row r="765" spans="1:26" ht="13.5" customHeight="1">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row>
    <row r="766" spans="1:26" ht="13.5" customHeight="1">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row>
    <row r="767" spans="1:26" ht="13.5" customHeight="1">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row>
    <row r="768" spans="1:26" ht="13.5" customHeight="1">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row>
    <row r="769" spans="1:26" ht="13.5" customHeight="1">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row>
    <row r="770" spans="1:26" ht="13.5" customHeight="1">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row>
    <row r="771" spans="1:26" ht="13.5" customHeight="1">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row>
    <row r="772" spans="1:26" ht="13.5" customHeight="1">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row>
    <row r="773" spans="1:26" ht="13.5" customHeight="1">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row>
    <row r="774" spans="1:26" ht="13.5" customHeight="1">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row>
    <row r="775" spans="1:26" ht="13.5" customHeight="1">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row>
    <row r="776" spans="1:26" ht="13.5" customHeight="1">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row>
    <row r="777" spans="1:26" ht="13.5" customHeight="1">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row>
    <row r="778" spans="1:26" ht="13.5" customHeight="1">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row>
    <row r="779" spans="1:26" ht="13.5" customHeight="1">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row>
    <row r="780" spans="1:26" ht="13.5" customHeight="1">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row>
    <row r="781" spans="1:26" ht="13.5" customHeight="1">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row>
    <row r="782" spans="1:26" ht="13.5" customHeight="1">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row>
    <row r="783" spans="1:26" ht="13.5" customHeight="1">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row>
    <row r="784" spans="1:26" ht="13.5" customHeight="1">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row>
    <row r="785" spans="1:26" ht="13.5" customHeight="1">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row>
    <row r="786" spans="1:26" ht="13.5" customHeight="1">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row>
    <row r="787" spans="1:26" ht="13.5" customHeight="1">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row>
    <row r="788" spans="1:26" ht="13.5" customHeight="1">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row>
    <row r="789" spans="1:26" ht="13.5" customHeight="1">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row>
    <row r="790" spans="1:26" ht="13.5" customHeight="1">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row>
    <row r="791" spans="1:26" ht="13.5" customHeight="1">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row>
    <row r="792" spans="1:26" ht="13.5" customHeight="1">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row>
    <row r="793" spans="1:26" ht="13.5" customHeight="1">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row>
    <row r="794" spans="1:26" ht="13.5" customHeight="1">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row>
    <row r="795" spans="1:26" ht="13.5" customHeight="1">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row>
    <row r="796" spans="1:26" ht="13.5" customHeight="1">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row>
    <row r="797" spans="1:26" ht="13.5" customHeight="1">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row>
    <row r="798" spans="1:26" ht="13.5" customHeight="1">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row>
    <row r="799" spans="1:26" ht="13.5" customHeight="1">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row>
    <row r="800" spans="1:26" ht="13.5" customHeight="1">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row>
    <row r="801" spans="1:26" ht="13.5" customHeight="1">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row>
    <row r="802" spans="1:26" ht="13.5" customHeight="1">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row>
    <row r="803" spans="1:26" ht="13.5" customHeight="1">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row>
    <row r="804" spans="1:26" ht="13.5" customHeight="1">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row>
    <row r="805" spans="1:26" ht="13.5" customHeight="1">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row>
    <row r="806" spans="1:26" ht="13.5" customHeight="1">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row>
    <row r="807" spans="1:26" ht="13.5" customHeight="1">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row>
    <row r="808" spans="1:26" ht="13.5" customHeight="1">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row>
    <row r="809" spans="1:26" ht="13.5" customHeight="1">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row>
    <row r="810" spans="1:26" ht="13.5" customHeight="1">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row>
    <row r="811" spans="1:26" ht="13.5" customHeight="1">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row>
    <row r="812" spans="1:26" ht="13.5" customHeight="1">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row>
    <row r="813" spans="1:26" ht="13.5" customHeight="1">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row>
    <row r="814" spans="1:26" ht="13.5" customHeight="1">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row>
    <row r="815" spans="1:26" ht="13.5" customHeight="1">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row>
    <row r="816" spans="1:26" ht="13.5" customHeight="1">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row>
    <row r="817" spans="1:26" ht="13.5" customHeight="1">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row>
    <row r="818" spans="1:26" ht="13.5" customHeight="1">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row>
    <row r="819" spans="1:26" ht="13.5" customHeight="1">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row>
    <row r="820" spans="1:26" ht="13.5" customHeight="1">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row>
    <row r="821" spans="1:26" ht="13.5" customHeight="1">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row>
    <row r="822" spans="1:26" ht="13.5" customHeight="1">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row>
    <row r="823" spans="1:26" ht="13.5" customHeight="1">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row>
    <row r="824" spans="1:26" ht="13.5" customHeight="1">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row>
    <row r="825" spans="1:26" ht="13.5" customHeight="1">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row>
    <row r="826" spans="1:26" ht="13.5" customHeight="1">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row>
    <row r="827" spans="1:26" ht="13.5" customHeight="1">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row>
    <row r="828" spans="1:26" ht="13.5" customHeight="1">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row>
    <row r="829" spans="1:26" ht="13.5" customHeight="1">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row>
    <row r="830" spans="1:26" ht="13.5" customHeight="1">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row>
    <row r="831" spans="1:26" ht="13.5" customHeight="1">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row>
    <row r="832" spans="1:26" ht="13.5" customHeight="1">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row>
    <row r="833" spans="1:26" ht="13.5" customHeight="1">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row>
    <row r="834" spans="1:26" ht="13.5" customHeight="1">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row>
    <row r="835" spans="1:26" ht="13.5" customHeight="1">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row>
    <row r="836" spans="1:26" ht="13.5" customHeight="1">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row>
    <row r="837" spans="1:26" ht="13.5" customHeight="1">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row>
    <row r="838" spans="1:26" ht="13.5" customHeight="1">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row>
    <row r="839" spans="1:26" ht="13.5" customHeight="1">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row>
    <row r="840" spans="1:26" ht="13.5" customHeight="1">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row>
    <row r="841" spans="1:26" ht="13.5" customHeight="1">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row>
    <row r="842" spans="1:26" ht="13.5" customHeight="1">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row>
    <row r="843" spans="1:26" ht="13.5" customHeight="1">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row>
    <row r="844" spans="1:26" ht="13.5" customHeight="1">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row>
    <row r="845" spans="1:26" ht="13.5" customHeight="1">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row>
    <row r="846" spans="1:26" ht="13.5" customHeight="1">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row>
    <row r="847" spans="1:26" ht="13.5" customHeight="1">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row>
    <row r="848" spans="1:26" ht="13.5" customHeight="1">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row>
    <row r="849" spans="1:26" ht="13.5" customHeight="1">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row>
    <row r="850" spans="1:26" ht="13.5" customHeight="1">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row>
    <row r="851" spans="1:26" ht="13.5" customHeight="1">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row>
    <row r="852" spans="1:26" ht="13.5" customHeight="1">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row>
    <row r="853" spans="1:26" ht="13.5" customHeight="1">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row>
    <row r="854" spans="1:26" ht="13.5" customHeight="1">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row>
    <row r="855" spans="1:26" ht="13.5" customHeight="1">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row>
    <row r="856" spans="1:26" ht="13.5" customHeight="1">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row>
    <row r="857" spans="1:26" ht="13.5" customHeight="1">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row>
    <row r="858" spans="1:26" ht="13.5" customHeight="1">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row>
    <row r="859" spans="1:26" ht="13.5" customHeight="1">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row>
    <row r="860" spans="1:26" ht="13.5" customHeight="1">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row>
    <row r="861" spans="1:26" ht="13.5" customHeight="1">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row>
    <row r="862" spans="1:26" ht="13.5" customHeight="1">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row>
    <row r="863" spans="1:26" ht="13.5" customHeight="1">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row>
    <row r="864" spans="1:26" ht="13.5" customHeight="1">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row>
    <row r="865" spans="1:26" ht="13.5" customHeight="1">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row>
    <row r="866" spans="1:26" ht="13.5" customHeight="1">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row>
    <row r="867" spans="1:26" ht="13.5" customHeight="1">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row>
    <row r="868" spans="1:26" ht="13.5" customHeight="1">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row>
    <row r="869" spans="1:26" ht="13.5" customHeight="1">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row>
    <row r="870" spans="1:26" ht="13.5" customHeight="1">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row>
    <row r="871" spans="1:26" ht="13.5" customHeight="1">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row>
    <row r="872" spans="1:26" ht="13.5" customHeight="1">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row>
    <row r="873" spans="1:26" ht="13.5" customHeight="1">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row>
    <row r="874" spans="1:26" ht="13.5" customHeight="1">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row>
    <row r="875" spans="1:26" ht="13.5" customHeight="1">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row>
    <row r="876" spans="1:26" ht="13.5" customHeight="1">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row>
    <row r="877" spans="1:26" ht="13.5" customHeight="1">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row>
    <row r="878" spans="1:26" ht="13.5" customHeight="1">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row>
    <row r="879" spans="1:26" ht="13.5" customHeight="1">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row>
    <row r="880" spans="1:26" ht="13.5" customHeight="1">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row>
    <row r="881" spans="1:26" ht="13.5" customHeight="1">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row>
    <row r="882" spans="1:26" ht="13.5" customHeight="1">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row>
    <row r="883" spans="1:26" ht="13.5" customHeight="1">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row>
    <row r="884" spans="1:26" ht="13.5" customHeight="1">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row>
    <row r="885" spans="1:26" ht="13.5" customHeight="1">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row>
    <row r="886" spans="1:26" ht="13.5" customHeight="1">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row>
    <row r="887" spans="1:26" ht="13.5" customHeight="1">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row>
    <row r="888" spans="1:26" ht="13.5" customHeight="1">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row>
    <row r="889" spans="1:26" ht="13.5" customHeight="1">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row>
    <row r="890" spans="1:26" ht="13.5" customHeight="1">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row>
    <row r="891" spans="1:26" ht="13.5" customHeight="1">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row>
    <row r="892" spans="1:26" ht="13.5" customHeight="1">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row>
    <row r="893" spans="1:26" ht="13.5" customHeight="1">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row>
    <row r="894" spans="1:26" ht="13.5" customHeight="1">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row>
    <row r="895" spans="1:26" ht="13.5" customHeight="1">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row>
    <row r="896" spans="1:26" ht="13.5" customHeight="1">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row>
    <row r="897" spans="1:26" ht="13.5" customHeight="1">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row>
    <row r="898" spans="1:26" ht="13.5" customHeight="1">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row>
    <row r="899" spans="1:26" ht="13.5" customHeight="1">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row>
    <row r="900" spans="1:26" ht="13.5" customHeight="1">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row>
    <row r="901" spans="1:26" ht="13.5" customHeight="1">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row>
    <row r="902" spans="1:26" ht="13.5" customHeight="1">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row>
    <row r="903" spans="1:26" ht="13.5" customHeight="1">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row>
    <row r="904" spans="1:26" ht="13.5" customHeight="1">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row>
    <row r="905" spans="1:26" ht="13.5" customHeight="1">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row>
    <row r="906" spans="1:26" ht="13.5" customHeight="1">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row>
    <row r="907" spans="1:26" ht="13.5" customHeight="1">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row>
    <row r="908" spans="1:26" ht="13.5" customHeight="1">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row>
    <row r="909" spans="1:26" ht="13.5" customHeight="1">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row>
    <row r="910" spans="1:26" ht="13.5" customHeight="1">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row>
    <row r="911" spans="1:26" ht="13.5" customHeight="1">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row>
    <row r="912" spans="1:26" ht="13.5" customHeight="1">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row>
    <row r="913" spans="1:26" ht="13.5" customHeight="1">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row>
    <row r="914" spans="1:26" ht="13.5" customHeight="1">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row>
    <row r="915" spans="1:26" ht="13.5" customHeight="1">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row>
    <row r="916" spans="1:26" ht="13.5" customHeight="1">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row>
    <row r="917" spans="1:26" ht="13.5" customHeight="1">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row>
    <row r="918" spans="1:26" ht="13.5" customHeight="1">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row>
    <row r="919" spans="1:26" ht="13.5" customHeight="1">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row>
    <row r="920" spans="1:26" ht="13.5" customHeight="1">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row>
    <row r="921" spans="1:26" ht="13.5" customHeight="1">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row>
    <row r="922" spans="1:26" ht="13.5" customHeight="1">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row>
    <row r="923" spans="1:26" ht="13.5" customHeight="1">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row>
    <row r="924" spans="1:26" ht="13.5" customHeight="1">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row>
    <row r="925" spans="1:26" ht="13.5" customHeight="1">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row>
    <row r="926" spans="1:26" ht="13.5" customHeight="1">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row>
    <row r="927" spans="1:26" ht="13.5" customHeight="1">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row>
    <row r="928" spans="1:26" ht="13.5" customHeight="1">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row>
    <row r="929" spans="1:26" ht="13.5" customHeight="1">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row>
    <row r="930" spans="1:26" ht="13.5" customHeight="1">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row>
    <row r="931" spans="1:26" ht="13.5" customHeight="1">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row>
    <row r="932" spans="1:26" ht="13.5" customHeight="1">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row>
    <row r="933" spans="1:26" ht="13.5" customHeight="1">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row>
    <row r="934" spans="1:26" ht="13.5" customHeight="1">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row>
    <row r="935" spans="1:26" ht="13.5" customHeight="1">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row>
    <row r="936" spans="1:26" ht="13.5" customHeight="1">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row>
    <row r="937" spans="1:26" ht="13.5" customHeight="1">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row>
    <row r="938" spans="1:26" ht="13.5" customHeight="1">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row>
    <row r="939" spans="1:26" ht="13.5" customHeight="1">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row>
    <row r="940" spans="1:26" ht="13.5" customHeight="1">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row>
    <row r="941" spans="1:26" ht="13.5" customHeight="1">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row>
    <row r="942" spans="1:26" ht="13.5" customHeight="1">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row>
    <row r="943" spans="1:26" ht="13.5" customHeight="1">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row>
    <row r="944" spans="1:26" ht="13.5" customHeight="1">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row>
    <row r="945" spans="1:26" ht="13.5" customHeight="1">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row>
    <row r="946" spans="1:26" ht="13.5" customHeight="1">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row>
    <row r="947" spans="1:26" ht="13.5" customHeight="1">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row>
    <row r="948" spans="1:26" ht="13.5" customHeight="1">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row>
    <row r="949" spans="1:26" ht="13.5" customHeight="1">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row>
    <row r="950" spans="1:26" ht="13.5" customHeight="1">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row>
    <row r="951" spans="1:26" ht="13.5" customHeight="1">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row>
    <row r="952" spans="1:26" ht="13.5" customHeight="1">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row>
    <row r="953" spans="1:26" ht="13.5" customHeight="1">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row>
    <row r="954" spans="1:26" ht="13.5" customHeight="1">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row>
    <row r="955" spans="1:26" ht="13.5" customHeight="1">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row>
    <row r="956" spans="1:26" ht="13.5" customHeight="1">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row>
    <row r="957" spans="1:26" ht="13.5" customHeight="1">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row>
    <row r="958" spans="1:26" ht="13.5" customHeight="1">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row>
    <row r="959" spans="1:26" ht="13.5" customHeight="1">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row>
    <row r="960" spans="1:26" ht="13.5" customHeight="1">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row>
    <row r="961" spans="1:26" ht="13.5" customHeight="1">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row>
    <row r="962" spans="1:26" ht="13.5" customHeight="1">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row>
    <row r="963" spans="1:26" ht="13.5" customHeight="1">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row>
    <row r="964" spans="1:26" ht="13.5" customHeight="1">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row>
    <row r="965" spans="1:26" ht="13.5" customHeight="1">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row>
    <row r="966" spans="1:26" ht="13.5" customHeight="1">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row>
    <row r="967" spans="1:26" ht="13.5" customHeight="1">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row>
    <row r="968" spans="1:26" ht="13.5" customHeight="1">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row>
    <row r="969" spans="1:26" ht="13.5" customHeight="1">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row>
    <row r="970" spans="1:26" ht="13.5" customHeight="1">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row>
    <row r="971" spans="1:26" ht="13.5" customHeight="1">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row>
    <row r="972" spans="1:26" ht="13.5" customHeight="1">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row>
    <row r="973" spans="1:26" ht="13.5" customHeight="1">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row>
    <row r="974" spans="1:26" ht="13.5" customHeight="1">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row>
    <row r="975" spans="1:26" ht="13.5" customHeight="1">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row>
    <row r="976" spans="1:26" ht="13.5" customHeight="1">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row>
    <row r="977" spans="1:26" ht="13.5" customHeight="1">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row>
    <row r="978" spans="1:26" ht="13.5" customHeight="1">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row>
    <row r="979" spans="1:26" ht="13.5" customHeight="1">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row>
    <row r="980" spans="1:26" ht="13.5" customHeight="1">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row>
    <row r="981" spans="1:26" ht="13.5" customHeight="1">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row>
    <row r="982" spans="1:26" ht="13.5" customHeight="1">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row>
    <row r="983" spans="1:26" ht="13.5" customHeight="1">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row>
    <row r="984" spans="1:26" ht="13.5" customHeight="1">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row>
    <row r="985" spans="1:26" ht="13.5" customHeight="1">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row>
    <row r="986" spans="1:26" ht="13.5" customHeight="1">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row>
    <row r="987" spans="1:26" ht="13.5" customHeight="1">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row>
    <row r="988" spans="1:26" ht="13.5" customHeight="1">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row>
    <row r="989" spans="1:26" ht="13.5" customHeight="1">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row>
    <row r="990" spans="1:26" ht="13.5" customHeight="1">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row>
    <row r="991" spans="1:26" ht="13.5" customHeight="1">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row>
    <row r="992" spans="1:26" ht="13.5" customHeight="1">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row>
    <row r="993" spans="1:26" ht="13.5" customHeight="1">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row>
    <row r="994" spans="1:26" ht="13.5" customHeight="1">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row>
    <row r="995" spans="1:26" ht="13.5" customHeight="1">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row>
    <row r="996" spans="1:26" ht="13.5" customHeight="1">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row>
    <row r="997" spans="1:26" ht="13.5" customHeight="1">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row>
    <row r="998" spans="1:26" ht="13.5" customHeight="1">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row>
    <row r="999" spans="1:26" ht="13.5" customHeight="1">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row>
    <row r="1000" spans="1:26" ht="13.5" customHeight="1">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row>
  </sheetData>
  <mergeCells count="6">
    <mergeCell ref="D68:F68"/>
    <mergeCell ref="H68:J68"/>
    <mergeCell ref="L68:N68"/>
    <mergeCell ref="D69:F69"/>
    <mergeCell ref="H69:J69"/>
    <mergeCell ref="L69:N69"/>
  </mergeCells>
  <dataValidations count="1">
    <dataValidation type="list" allowBlank="1" showErrorMessage="1" sqref="B71">
      <formula1>CostInput</formula1>
    </dataValidation>
  </dataValidation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G1650"/>
  <sheetViews>
    <sheetView showGridLines="0" workbookViewId="0"/>
  </sheetViews>
  <sheetFormatPr defaultColWidth="14.44140625" defaultRowHeight="15" customHeight="1"/>
  <cols>
    <col min="1" max="1" width="11.6640625" customWidth="1"/>
    <col min="2" max="2" width="18.5546875" customWidth="1"/>
    <col min="3" max="3" width="54.109375" customWidth="1"/>
    <col min="4" max="4" width="61.33203125" customWidth="1"/>
    <col min="5" max="5" width="16.88671875" customWidth="1"/>
    <col min="6" max="6" width="17.44140625" customWidth="1"/>
    <col min="7" max="7" width="29.6640625" customWidth="1"/>
    <col min="8" max="8" width="20" customWidth="1"/>
    <col min="9" max="9" width="17.44140625" customWidth="1"/>
    <col min="10" max="10" width="15.6640625" customWidth="1"/>
    <col min="11" max="11" width="17.44140625" customWidth="1"/>
    <col min="12" max="12" width="21.33203125" customWidth="1"/>
    <col min="13" max="13" width="37.44140625" customWidth="1"/>
    <col min="14" max="14" width="12.6640625" customWidth="1"/>
    <col min="15" max="15" width="13.33203125" customWidth="1"/>
    <col min="16" max="16" width="13.88671875" customWidth="1"/>
    <col min="17" max="17" width="18.5546875" customWidth="1"/>
    <col min="18" max="18" width="15.5546875" customWidth="1"/>
    <col min="19" max="19" width="20.6640625" customWidth="1"/>
    <col min="20" max="21" width="25.5546875" customWidth="1"/>
    <col min="22" max="22" width="37.44140625" customWidth="1"/>
    <col min="23" max="23" width="9.6640625" customWidth="1"/>
    <col min="24" max="25" width="14.109375" customWidth="1"/>
    <col min="26" max="26" width="14.6640625" customWidth="1"/>
    <col min="27" max="32" width="14.109375" customWidth="1"/>
    <col min="33" max="33" width="37.44140625" customWidth="1"/>
  </cols>
  <sheetData>
    <row r="1" spans="1:33">
      <c r="A1" s="710" t="s">
        <v>884</v>
      </c>
      <c r="B1" s="711"/>
      <c r="C1" s="669" t="s">
        <v>885</v>
      </c>
      <c r="D1" s="668"/>
      <c r="E1" s="668"/>
      <c r="F1" s="668"/>
      <c r="G1" s="668"/>
      <c r="H1" s="668"/>
      <c r="I1" s="111"/>
      <c r="J1" s="111"/>
      <c r="K1" s="111"/>
      <c r="L1" s="111"/>
      <c r="M1" s="111"/>
      <c r="N1" s="111"/>
      <c r="O1" s="111"/>
      <c r="P1" s="111"/>
      <c r="Q1" s="111"/>
      <c r="R1" s="111"/>
      <c r="S1" s="712"/>
      <c r="T1" s="111"/>
      <c r="U1" s="111"/>
      <c r="V1" s="111"/>
      <c r="W1" s="111"/>
      <c r="X1" s="132"/>
      <c r="Y1" s="133"/>
      <c r="Z1" s="132"/>
      <c r="AA1" s="132"/>
      <c r="AB1" s="133"/>
      <c r="AC1" s="132"/>
      <c r="AD1" s="132"/>
      <c r="AE1" s="133"/>
      <c r="AF1" s="132"/>
      <c r="AG1" s="67"/>
    </row>
    <row r="2" spans="1:33">
      <c r="A2" s="713"/>
      <c r="B2" s="711"/>
      <c r="C2" s="669"/>
      <c r="D2" s="669"/>
      <c r="E2" s="670"/>
      <c r="F2" s="670"/>
      <c r="G2" s="671"/>
      <c r="H2" s="668"/>
      <c r="I2" s="111"/>
      <c r="J2" s="111"/>
      <c r="K2" s="111"/>
      <c r="L2" s="111"/>
      <c r="M2" s="111"/>
      <c r="N2" s="111"/>
      <c r="O2" s="111"/>
      <c r="P2" s="111"/>
      <c r="Q2" s="111"/>
      <c r="R2" s="111"/>
      <c r="S2" s="712"/>
      <c r="T2" s="111"/>
      <c r="U2" s="111"/>
      <c r="V2" s="111"/>
      <c r="W2" s="111"/>
      <c r="X2" s="132"/>
      <c r="Y2" s="133"/>
      <c r="Z2" s="132"/>
      <c r="AA2" s="132"/>
      <c r="AB2" s="133"/>
      <c r="AC2" s="132"/>
      <c r="AD2" s="132"/>
      <c r="AE2" s="133"/>
      <c r="AF2" s="132"/>
      <c r="AG2" s="67"/>
    </row>
    <row r="3" spans="1:33">
      <c r="A3" s="9"/>
      <c r="B3" s="111"/>
      <c r="C3" s="111"/>
      <c r="D3" s="111"/>
      <c r="E3" s="111"/>
      <c r="F3" s="111"/>
      <c r="G3" s="111"/>
      <c r="H3" s="111"/>
      <c r="I3" s="111"/>
      <c r="J3" s="111"/>
      <c r="K3" s="111"/>
      <c r="L3" s="111"/>
      <c r="M3" s="111"/>
      <c r="N3" s="111"/>
      <c r="O3" s="111"/>
      <c r="P3" s="111"/>
      <c r="Q3" s="111"/>
      <c r="R3" s="111"/>
      <c r="S3" s="712"/>
      <c r="T3" s="111"/>
      <c r="U3" s="111"/>
      <c r="V3" s="111"/>
      <c r="W3" s="111"/>
      <c r="X3" s="132"/>
      <c r="Y3" s="133"/>
      <c r="Z3" s="132"/>
      <c r="AA3" s="132"/>
      <c r="AB3" s="133"/>
      <c r="AC3" s="132"/>
      <c r="AD3" s="132"/>
      <c r="AE3" s="133"/>
      <c r="AF3" s="132"/>
      <c r="AG3" s="67"/>
    </row>
    <row r="4" spans="1:33">
      <c r="A4" s="9"/>
      <c r="B4" s="111"/>
      <c r="C4" s="111"/>
      <c r="D4" s="111"/>
      <c r="E4" s="111"/>
      <c r="F4" s="111"/>
      <c r="G4" s="111"/>
      <c r="H4" s="111"/>
      <c r="I4" s="111"/>
      <c r="J4" s="111"/>
      <c r="K4" s="111"/>
      <c r="L4" s="111"/>
      <c r="M4" s="111"/>
      <c r="N4" s="111"/>
      <c r="O4" s="111"/>
      <c r="P4" s="111"/>
      <c r="Q4" s="111"/>
      <c r="R4" s="111"/>
      <c r="S4" s="712"/>
      <c r="T4" s="111"/>
      <c r="U4" s="111"/>
      <c r="V4" s="111"/>
      <c r="W4" s="111"/>
      <c r="X4" s="132"/>
      <c r="Y4" s="133"/>
      <c r="Z4" s="132"/>
      <c r="AA4" s="132"/>
      <c r="AB4" s="133"/>
      <c r="AC4" s="132"/>
      <c r="AD4" s="132"/>
      <c r="AE4" s="133"/>
      <c r="AF4" s="132"/>
      <c r="AG4" s="67"/>
    </row>
    <row r="5" spans="1:33">
      <c r="A5" s="134"/>
      <c r="B5" s="923" t="s">
        <v>886</v>
      </c>
      <c r="C5" s="895"/>
      <c r="D5" s="896"/>
      <c r="E5" s="111"/>
      <c r="F5" s="111"/>
      <c r="G5" s="111"/>
      <c r="H5" s="111"/>
      <c r="I5" s="111"/>
      <c r="J5" s="111"/>
      <c r="K5" s="111"/>
      <c r="L5" s="111"/>
      <c r="M5" s="111"/>
      <c r="N5" s="111"/>
      <c r="O5" s="111"/>
      <c r="P5" s="111"/>
      <c r="Q5" s="111"/>
      <c r="R5" s="111"/>
      <c r="S5" s="712"/>
      <c r="T5" s="111"/>
      <c r="U5" s="111"/>
      <c r="V5" s="111"/>
      <c r="W5" s="111"/>
      <c r="X5" s="132"/>
      <c r="Y5" s="133"/>
      <c r="Z5" s="132"/>
      <c r="AA5" s="132"/>
      <c r="AB5" s="133"/>
      <c r="AC5" s="132"/>
      <c r="AD5" s="132"/>
      <c r="AE5" s="133"/>
      <c r="AF5" s="132"/>
      <c r="AG5" s="67"/>
    </row>
    <row r="6" spans="1:33">
      <c r="A6" s="134"/>
      <c r="B6" s="714" t="s">
        <v>887</v>
      </c>
      <c r="C6" s="714" t="s">
        <v>888</v>
      </c>
      <c r="D6" s="714" t="s">
        <v>889</v>
      </c>
      <c r="E6" s="111"/>
      <c r="F6" s="111"/>
      <c r="G6" s="111"/>
      <c r="H6" s="111"/>
      <c r="I6" s="111"/>
      <c r="J6" s="111"/>
      <c r="K6" s="111"/>
      <c r="L6" s="111"/>
      <c r="M6" s="111"/>
      <c r="N6" s="111"/>
      <c r="O6" s="111"/>
      <c r="P6" s="111"/>
      <c r="Q6" s="111"/>
      <c r="R6" s="111"/>
      <c r="S6" s="712"/>
      <c r="T6" s="111"/>
      <c r="U6" s="111"/>
      <c r="V6" s="111"/>
      <c r="W6" s="111"/>
      <c r="X6" s="132"/>
      <c r="Y6" s="133"/>
      <c r="Z6" s="132"/>
      <c r="AA6" s="132"/>
      <c r="AB6" s="133"/>
      <c r="AC6" s="132"/>
      <c r="AD6" s="132"/>
      <c r="AE6" s="133"/>
      <c r="AF6" s="132"/>
      <c r="AG6" s="67"/>
    </row>
    <row r="7" spans="1:33">
      <c r="A7" s="134"/>
      <c r="B7" s="121">
        <v>2021</v>
      </c>
      <c r="C7" s="135">
        <v>0</v>
      </c>
      <c r="D7" s="135">
        <f>1+C7</f>
        <v>1</v>
      </c>
      <c r="E7" s="111"/>
      <c r="F7" s="136">
        <v>6.5000000000000002E-2</v>
      </c>
      <c r="G7" s="111"/>
      <c r="H7" s="111"/>
      <c r="I7" s="111"/>
      <c r="J7" s="111"/>
      <c r="K7" s="111"/>
      <c r="L7" s="111"/>
      <c r="M7" s="111"/>
      <c r="N7" s="111"/>
      <c r="O7" s="111"/>
      <c r="P7" s="111"/>
      <c r="Q7" s="111"/>
      <c r="R7" s="111"/>
      <c r="S7" s="712"/>
      <c r="T7" s="111"/>
      <c r="U7" s="111"/>
      <c r="V7" s="111"/>
      <c r="W7" s="111"/>
      <c r="X7" s="132"/>
      <c r="Y7" s="133"/>
      <c r="Z7" s="132"/>
      <c r="AA7" s="132"/>
      <c r="AB7" s="133"/>
      <c r="AC7" s="132"/>
      <c r="AD7" s="132"/>
      <c r="AE7" s="133"/>
      <c r="AF7" s="132"/>
      <c r="AG7" s="67"/>
    </row>
    <row r="8" spans="1:33">
      <c r="A8" s="134"/>
      <c r="B8" s="121">
        <v>2022</v>
      </c>
      <c r="C8" s="135">
        <v>0</v>
      </c>
      <c r="D8" s="135">
        <f t="shared" ref="D8:D9" si="0">D7*(1+C8)</f>
        <v>1</v>
      </c>
      <c r="E8" s="111"/>
      <c r="F8" s="137">
        <v>0.06</v>
      </c>
      <c r="G8" s="111"/>
      <c r="H8" s="111"/>
      <c r="I8" s="111"/>
      <c r="J8" s="111"/>
      <c r="K8" s="111"/>
      <c r="L8" s="111"/>
      <c r="M8" s="111"/>
      <c r="N8" s="111"/>
      <c r="O8" s="111"/>
      <c r="P8" s="111"/>
      <c r="Q8" s="111"/>
      <c r="R8" s="111"/>
      <c r="S8" s="712"/>
      <c r="T8" s="111"/>
      <c r="U8" s="111"/>
      <c r="V8" s="111"/>
      <c r="W8" s="111"/>
      <c r="X8" s="132"/>
      <c r="Y8" s="133"/>
      <c r="Z8" s="132"/>
      <c r="AA8" s="132"/>
      <c r="AB8" s="133"/>
      <c r="AC8" s="132"/>
      <c r="AD8" s="132"/>
      <c r="AE8" s="133"/>
      <c r="AF8" s="132"/>
      <c r="AG8" s="67"/>
    </row>
    <row r="9" spans="1:33">
      <c r="A9" s="134"/>
      <c r="B9" s="121">
        <v>2023</v>
      </c>
      <c r="C9" s="135">
        <v>0</v>
      </c>
      <c r="D9" s="135">
        <f t="shared" si="0"/>
        <v>1</v>
      </c>
      <c r="E9" s="111"/>
      <c r="F9" s="715">
        <v>0.05</v>
      </c>
      <c r="G9" s="111"/>
      <c r="H9" s="111"/>
      <c r="I9" s="111"/>
      <c r="J9" s="111"/>
      <c r="K9" s="111"/>
      <c r="L9" s="111"/>
      <c r="M9" s="111"/>
      <c r="N9" s="111"/>
      <c r="O9" s="111"/>
      <c r="P9" s="111"/>
      <c r="Q9" s="111"/>
      <c r="R9" s="111"/>
      <c r="S9" s="712"/>
      <c r="T9" s="111"/>
      <c r="U9" s="111"/>
      <c r="V9" s="111"/>
      <c r="W9" s="111"/>
      <c r="X9" s="132"/>
      <c r="Y9" s="133"/>
      <c r="Z9" s="132"/>
      <c r="AA9" s="132"/>
      <c r="AB9" s="133"/>
      <c r="AC9" s="132"/>
      <c r="AD9" s="132"/>
      <c r="AE9" s="133"/>
      <c r="AF9" s="132"/>
      <c r="AG9" s="67"/>
    </row>
    <row r="10" spans="1:33">
      <c r="A10" s="9"/>
      <c r="B10" s="111"/>
      <c r="C10" s="138"/>
      <c r="D10" s="138"/>
      <c r="E10" s="111"/>
      <c r="F10" s="111"/>
      <c r="G10" s="111"/>
      <c r="H10" s="111"/>
      <c r="I10" s="111"/>
      <c r="J10" s="111"/>
      <c r="K10" s="111"/>
      <c r="L10" s="111"/>
      <c r="M10" s="111"/>
      <c r="N10" s="111"/>
      <c r="O10" s="111"/>
      <c r="P10" s="111"/>
      <c r="Q10" s="111"/>
      <c r="R10" s="111"/>
      <c r="S10" s="712"/>
      <c r="T10" s="111"/>
      <c r="U10" s="111"/>
      <c r="V10" s="111"/>
      <c r="W10" s="111"/>
      <c r="X10" s="132"/>
      <c r="Y10" s="133"/>
      <c r="Z10" s="132"/>
      <c r="AA10" s="132"/>
      <c r="AB10" s="133"/>
      <c r="AC10" s="132"/>
      <c r="AD10" s="132"/>
      <c r="AE10" s="133"/>
      <c r="AF10" s="132"/>
      <c r="AG10" s="67"/>
    </row>
    <row r="11" spans="1:33">
      <c r="A11" s="9"/>
      <c r="B11" s="111"/>
      <c r="C11" s="111"/>
      <c r="D11" s="111"/>
      <c r="E11" s="111"/>
      <c r="F11" s="111"/>
      <c r="G11" s="111"/>
      <c r="H11" s="111"/>
      <c r="I11" s="111"/>
      <c r="J11" s="111"/>
      <c r="K11" s="111"/>
      <c r="L11" s="111"/>
      <c r="M11" s="111"/>
      <c r="N11" s="111"/>
      <c r="O11" s="111"/>
      <c r="P11" s="111"/>
      <c r="Q11" s="111"/>
      <c r="R11" s="111"/>
      <c r="S11" s="712"/>
      <c r="T11" s="111"/>
      <c r="U11" s="111"/>
      <c r="V11" s="111"/>
      <c r="W11" s="111"/>
      <c r="X11" s="132"/>
      <c r="Y11" s="133"/>
      <c r="Z11" s="132"/>
      <c r="AA11" s="132"/>
      <c r="AB11" s="133"/>
      <c r="AC11" s="132"/>
      <c r="AD11" s="132"/>
      <c r="AE11" s="133"/>
      <c r="AF11" s="132"/>
      <c r="AG11" s="67"/>
    </row>
    <row r="12" spans="1:33">
      <c r="A12" s="134"/>
      <c r="B12" s="923" t="s">
        <v>890</v>
      </c>
      <c r="C12" s="896"/>
      <c r="D12" s="111"/>
      <c r="E12" s="111"/>
      <c r="F12" s="111"/>
      <c r="G12" s="111"/>
      <c r="H12" s="111"/>
      <c r="I12" s="111"/>
      <c r="J12" s="111"/>
      <c r="K12" s="111"/>
      <c r="L12" s="111"/>
      <c r="M12" s="111"/>
      <c r="N12" s="111"/>
      <c r="O12" s="111"/>
      <c r="P12" s="111"/>
      <c r="Q12" s="111"/>
      <c r="R12" s="111"/>
      <c r="S12" s="712"/>
      <c r="T12" s="111"/>
      <c r="U12" s="111"/>
      <c r="V12" s="111"/>
      <c r="W12" s="111"/>
      <c r="X12" s="132"/>
      <c r="Y12" s="133"/>
      <c r="Z12" s="132"/>
      <c r="AA12" s="132"/>
      <c r="AB12" s="133"/>
      <c r="AC12" s="132"/>
      <c r="AD12" s="132"/>
      <c r="AE12" s="133"/>
      <c r="AF12" s="132"/>
      <c r="AG12" s="67"/>
    </row>
    <row r="13" spans="1:33">
      <c r="A13" s="134"/>
      <c r="B13" s="716" t="s">
        <v>891</v>
      </c>
      <c r="C13" s="717">
        <v>0.1</v>
      </c>
      <c r="D13" s="111"/>
      <c r="E13" s="111"/>
      <c r="F13" s="111"/>
      <c r="G13" s="111"/>
      <c r="H13" s="111"/>
      <c r="I13" s="111"/>
      <c r="J13" s="111"/>
      <c r="K13" s="111"/>
      <c r="L13" s="111"/>
      <c r="M13" s="111"/>
      <c r="N13" s="111"/>
      <c r="O13" s="111"/>
      <c r="P13" s="111"/>
      <c r="Q13" s="111"/>
      <c r="R13" s="111"/>
      <c r="S13" s="712"/>
      <c r="T13" s="111"/>
      <c r="U13" s="111"/>
      <c r="V13" s="111"/>
      <c r="W13" s="111"/>
      <c r="X13" s="132"/>
      <c r="Y13" s="133"/>
      <c r="Z13" s="132"/>
      <c r="AA13" s="132"/>
      <c r="AB13" s="133"/>
      <c r="AC13" s="132"/>
      <c r="AD13" s="132"/>
      <c r="AE13" s="133"/>
      <c r="AF13" s="132"/>
      <c r="AG13" s="67"/>
    </row>
    <row r="14" spans="1:33">
      <c r="A14" s="134"/>
      <c r="B14" s="139" t="s">
        <v>892</v>
      </c>
      <c r="C14" s="140">
        <v>0.15</v>
      </c>
      <c r="D14" s="111"/>
      <c r="E14" s="111"/>
      <c r="F14" s="111"/>
      <c r="G14" s="111"/>
      <c r="H14" s="111"/>
      <c r="I14" s="111"/>
      <c r="J14" s="111"/>
      <c r="K14" s="111"/>
      <c r="L14" s="111"/>
      <c r="M14" s="111"/>
      <c r="N14" s="111"/>
      <c r="O14" s="111"/>
      <c r="P14" s="111"/>
      <c r="Q14" s="111"/>
      <c r="R14" s="111"/>
      <c r="S14" s="712"/>
      <c r="T14" s="111"/>
      <c r="U14" s="111"/>
      <c r="V14" s="111"/>
      <c r="W14" s="111"/>
      <c r="X14" s="132"/>
      <c r="Y14" s="133"/>
      <c r="Z14" s="132"/>
      <c r="AA14" s="132"/>
      <c r="AB14" s="133"/>
      <c r="AC14" s="132"/>
      <c r="AD14" s="132"/>
      <c r="AE14" s="133"/>
      <c r="AF14" s="132"/>
      <c r="AG14" s="67"/>
    </row>
    <row r="15" spans="1:33">
      <c r="A15" s="9"/>
      <c r="B15" s="141"/>
      <c r="C15" s="142"/>
      <c r="D15" s="111"/>
      <c r="E15" s="111"/>
      <c r="F15" s="111"/>
      <c r="G15" s="111"/>
      <c r="H15" s="111"/>
      <c r="I15" s="111"/>
      <c r="J15" s="111"/>
      <c r="K15" s="111"/>
      <c r="L15" s="111"/>
      <c r="M15" s="111"/>
      <c r="N15" s="111"/>
      <c r="O15" s="111"/>
      <c r="P15" s="111"/>
      <c r="Q15" s="111"/>
      <c r="R15" s="111"/>
      <c r="S15" s="712"/>
      <c r="T15" s="111"/>
      <c r="U15" s="111"/>
      <c r="V15" s="111"/>
      <c r="W15" s="111"/>
      <c r="X15" s="132"/>
      <c r="Y15" s="133"/>
      <c r="Z15" s="132"/>
      <c r="AA15" s="132"/>
      <c r="AB15" s="133"/>
      <c r="AC15" s="132"/>
      <c r="AD15" s="132"/>
      <c r="AE15" s="133"/>
      <c r="AF15" s="132"/>
      <c r="AG15" s="67"/>
    </row>
    <row r="16" spans="1:33">
      <c r="A16" s="9"/>
      <c r="B16" s="111"/>
      <c r="C16" s="111"/>
      <c r="D16" s="111"/>
      <c r="E16" s="111"/>
      <c r="F16" s="111"/>
      <c r="G16" s="111"/>
      <c r="H16" s="111"/>
      <c r="I16" s="111"/>
      <c r="J16" s="111"/>
      <c r="K16" s="111"/>
      <c r="L16" s="111"/>
      <c r="M16" s="111"/>
      <c r="N16" s="111"/>
      <c r="O16" s="111"/>
      <c r="P16" s="111"/>
      <c r="Q16" s="111"/>
      <c r="R16" s="111"/>
      <c r="S16" s="712"/>
      <c r="T16" s="111"/>
      <c r="U16" s="111"/>
      <c r="V16" s="111"/>
      <c r="W16" s="111"/>
      <c r="X16" s="132"/>
      <c r="Y16" s="133"/>
      <c r="Z16" s="132"/>
      <c r="AA16" s="132"/>
      <c r="AB16" s="133"/>
      <c r="AC16" s="132"/>
      <c r="AD16" s="132"/>
      <c r="AE16" s="133"/>
      <c r="AF16" s="132"/>
      <c r="AG16" s="67"/>
    </row>
    <row r="17" spans="1:33">
      <c r="A17" s="134"/>
      <c r="B17" s="924" t="s">
        <v>893</v>
      </c>
      <c r="C17" s="898"/>
      <c r="D17" s="898"/>
      <c r="E17" s="718"/>
      <c r="F17" s="111"/>
      <c r="G17" s="111"/>
      <c r="H17" s="111"/>
      <c r="I17" s="111"/>
      <c r="J17" s="111"/>
      <c r="K17" s="111"/>
      <c r="L17" s="111"/>
      <c r="M17" s="111"/>
      <c r="N17" s="111"/>
      <c r="O17" s="111"/>
      <c r="P17" s="111"/>
      <c r="Q17" s="111"/>
      <c r="R17" s="111"/>
      <c r="S17" s="712"/>
      <c r="T17" s="111"/>
      <c r="U17" s="111"/>
      <c r="V17" s="111"/>
      <c r="W17" s="111"/>
      <c r="X17" s="132"/>
      <c r="Y17" s="133"/>
      <c r="Z17" s="132"/>
      <c r="AA17" s="132"/>
      <c r="AB17" s="133"/>
      <c r="AC17" s="132"/>
      <c r="AD17" s="132"/>
      <c r="AE17" s="133"/>
      <c r="AF17" s="132"/>
      <c r="AG17" s="67"/>
    </row>
    <row r="18" spans="1:33">
      <c r="A18" s="134"/>
      <c r="B18" s="143"/>
      <c r="C18" s="143" t="s">
        <v>894</v>
      </c>
      <c r="D18" s="143" t="s">
        <v>895</v>
      </c>
      <c r="E18" s="113" t="s">
        <v>896</v>
      </c>
      <c r="F18" s="111"/>
      <c r="G18" s="111"/>
      <c r="H18" s="111"/>
      <c r="I18" s="111"/>
      <c r="J18" s="111"/>
      <c r="K18" s="111"/>
      <c r="L18" s="111"/>
      <c r="M18" s="111"/>
      <c r="N18" s="111"/>
      <c r="O18" s="111"/>
      <c r="P18" s="111"/>
      <c r="Q18" s="111"/>
      <c r="R18" s="111"/>
      <c r="S18" s="712"/>
      <c r="T18" s="111"/>
      <c r="U18" s="111"/>
      <c r="V18" s="111"/>
      <c r="W18" s="111"/>
      <c r="X18" s="132"/>
      <c r="Y18" s="133"/>
      <c r="Z18" s="132"/>
      <c r="AA18" s="132"/>
      <c r="AB18" s="133"/>
      <c r="AC18" s="132"/>
      <c r="AD18" s="132"/>
      <c r="AE18" s="133"/>
      <c r="AF18" s="132"/>
      <c r="AG18" s="67"/>
    </row>
    <row r="19" spans="1:33">
      <c r="A19" s="134"/>
      <c r="B19" s="925" t="s">
        <v>897</v>
      </c>
      <c r="C19" s="116" t="s">
        <v>898</v>
      </c>
      <c r="D19" s="144">
        <v>244</v>
      </c>
      <c r="E19" s="145">
        <v>9.4461973248678888</v>
      </c>
      <c r="F19" s="146"/>
      <c r="G19" s="111"/>
      <c r="H19" s="111"/>
      <c r="I19" s="111"/>
      <c r="J19" s="111"/>
      <c r="K19" s="111"/>
      <c r="L19" s="111"/>
      <c r="M19" s="111"/>
      <c r="N19" s="111"/>
      <c r="O19" s="111"/>
      <c r="P19" s="111"/>
      <c r="Q19" s="111"/>
      <c r="R19" s="111"/>
      <c r="S19" s="712"/>
      <c r="T19" s="111"/>
      <c r="U19" s="111"/>
      <c r="V19" s="111"/>
      <c r="W19" s="111"/>
      <c r="X19" s="132"/>
      <c r="Y19" s="133"/>
      <c r="Z19" s="132"/>
      <c r="AA19" s="132"/>
      <c r="AB19" s="133"/>
      <c r="AC19" s="132"/>
      <c r="AD19" s="132"/>
      <c r="AE19" s="133"/>
      <c r="AF19" s="132"/>
      <c r="AG19" s="67"/>
    </row>
    <row r="20" spans="1:33">
      <c r="A20" s="134"/>
      <c r="B20" s="888"/>
      <c r="C20" s="139" t="s">
        <v>899</v>
      </c>
      <c r="D20" s="144">
        <v>156</v>
      </c>
      <c r="E20" s="145">
        <v>6.0393720601614369</v>
      </c>
      <c r="F20" s="111"/>
      <c r="G20" s="111"/>
      <c r="H20" s="111"/>
      <c r="I20" s="111"/>
      <c r="J20" s="111"/>
      <c r="K20" s="111"/>
      <c r="L20" s="111"/>
      <c r="M20" s="111"/>
      <c r="N20" s="111"/>
      <c r="O20" s="111"/>
      <c r="P20" s="111"/>
      <c r="Q20" s="111"/>
      <c r="R20" s="111"/>
      <c r="S20" s="712"/>
      <c r="T20" s="111"/>
      <c r="U20" s="111"/>
      <c r="V20" s="111"/>
      <c r="W20" s="111"/>
      <c r="X20" s="132"/>
      <c r="Y20" s="133"/>
      <c r="Z20" s="132"/>
      <c r="AA20" s="132"/>
      <c r="AB20" s="133"/>
      <c r="AC20" s="132"/>
      <c r="AD20" s="132"/>
      <c r="AE20" s="133"/>
      <c r="AF20" s="132"/>
      <c r="AG20" s="67"/>
    </row>
    <row r="21" spans="1:33">
      <c r="A21" s="134"/>
      <c r="B21" s="888"/>
      <c r="C21" s="116" t="s">
        <v>900</v>
      </c>
      <c r="D21" s="144">
        <v>77</v>
      </c>
      <c r="E21" s="145">
        <v>2.9809721066181449</v>
      </c>
      <c r="F21" s="111"/>
      <c r="G21" s="111"/>
      <c r="H21" s="111"/>
      <c r="I21" s="111"/>
      <c r="J21" s="111"/>
      <c r="K21" s="111"/>
      <c r="L21" s="111"/>
      <c r="M21" s="111"/>
      <c r="N21" s="111"/>
      <c r="O21" s="111"/>
      <c r="P21" s="111"/>
      <c r="Q21" s="111"/>
      <c r="R21" s="111"/>
      <c r="S21" s="712"/>
      <c r="T21" s="111"/>
      <c r="U21" s="111"/>
      <c r="V21" s="111"/>
      <c r="W21" s="111"/>
      <c r="X21" s="132"/>
      <c r="Y21" s="133"/>
      <c r="Z21" s="132"/>
      <c r="AA21" s="132"/>
      <c r="AB21" s="133"/>
      <c r="AC21" s="132"/>
      <c r="AD21" s="132"/>
      <c r="AE21" s="133"/>
      <c r="AF21" s="132"/>
      <c r="AG21" s="67"/>
    </row>
    <row r="22" spans="1:33">
      <c r="A22" s="134"/>
      <c r="B22" s="888"/>
      <c r="C22" s="116" t="s">
        <v>901</v>
      </c>
      <c r="D22" s="144">
        <v>134</v>
      </c>
      <c r="E22" s="145">
        <v>5.1876657439848239</v>
      </c>
      <c r="F22" s="111"/>
      <c r="G22" s="111"/>
      <c r="H22" s="111"/>
      <c r="I22" s="111"/>
      <c r="J22" s="111"/>
      <c r="K22" s="111"/>
      <c r="L22" s="111"/>
      <c r="M22" s="111"/>
      <c r="N22" s="111"/>
      <c r="O22" s="111"/>
      <c r="P22" s="111"/>
      <c r="Q22" s="111"/>
      <c r="R22" s="111"/>
      <c r="S22" s="712"/>
      <c r="T22" s="111"/>
      <c r="U22" s="111"/>
      <c r="V22" s="111"/>
      <c r="W22" s="111"/>
      <c r="X22" s="132"/>
      <c r="Y22" s="133"/>
      <c r="Z22" s="132"/>
      <c r="AA22" s="132"/>
      <c r="AB22" s="133"/>
      <c r="AC22" s="132"/>
      <c r="AD22" s="132"/>
      <c r="AE22" s="133"/>
      <c r="AF22" s="132"/>
      <c r="AG22" s="67"/>
    </row>
    <row r="23" spans="1:33">
      <c r="A23" s="134"/>
      <c r="B23" s="888"/>
      <c r="C23" s="116" t="s">
        <v>902</v>
      </c>
      <c r="D23" s="144">
        <v>1025</v>
      </c>
      <c r="E23" s="145">
        <v>39.681771549137643</v>
      </c>
      <c r="F23" s="111"/>
      <c r="G23" s="111"/>
      <c r="H23" s="111"/>
      <c r="I23" s="111"/>
      <c r="J23" s="111"/>
      <c r="K23" s="111"/>
      <c r="L23" s="111"/>
      <c r="M23" s="111"/>
      <c r="N23" s="111"/>
      <c r="O23" s="111"/>
      <c r="P23" s="111"/>
      <c r="Q23" s="111"/>
      <c r="R23" s="111"/>
      <c r="S23" s="712"/>
      <c r="T23" s="111"/>
      <c r="U23" s="111"/>
      <c r="V23" s="111"/>
      <c r="W23" s="111"/>
      <c r="X23" s="132"/>
      <c r="Y23" s="133"/>
      <c r="Z23" s="132"/>
      <c r="AA23" s="132"/>
      <c r="AB23" s="133"/>
      <c r="AC23" s="132"/>
      <c r="AD23" s="132"/>
      <c r="AE23" s="133"/>
      <c r="AF23" s="132"/>
      <c r="AG23" s="67"/>
    </row>
    <row r="24" spans="1:33">
      <c r="A24" s="134"/>
      <c r="B24" s="888"/>
      <c r="C24" s="116" t="s">
        <v>903</v>
      </c>
      <c r="D24" s="144">
        <v>434</v>
      </c>
      <c r="E24" s="145">
        <v>16.801842782756818</v>
      </c>
      <c r="F24" s="111"/>
      <c r="G24" s="111"/>
      <c r="H24" s="111"/>
      <c r="I24" s="111"/>
      <c r="J24" s="111"/>
      <c r="K24" s="111"/>
      <c r="L24" s="111"/>
      <c r="M24" s="111"/>
      <c r="N24" s="111"/>
      <c r="O24" s="111"/>
      <c r="P24" s="111"/>
      <c r="Q24" s="111"/>
      <c r="R24" s="111"/>
      <c r="S24" s="712"/>
      <c r="T24" s="111"/>
      <c r="U24" s="111"/>
      <c r="V24" s="111"/>
      <c r="W24" s="111"/>
      <c r="X24" s="132"/>
      <c r="Y24" s="133"/>
      <c r="Z24" s="132"/>
      <c r="AA24" s="132"/>
      <c r="AB24" s="133"/>
      <c r="AC24" s="132"/>
      <c r="AD24" s="132"/>
      <c r="AE24" s="133"/>
      <c r="AF24" s="132"/>
      <c r="AG24" s="67"/>
    </row>
    <row r="25" spans="1:33">
      <c r="A25" s="134"/>
      <c r="B25" s="888"/>
      <c r="C25" s="116" t="s">
        <v>904</v>
      </c>
      <c r="D25" s="144">
        <v>225</v>
      </c>
      <c r="E25" s="145">
        <v>8.7106327790789955</v>
      </c>
      <c r="F25" s="111"/>
      <c r="G25" s="111"/>
      <c r="H25" s="111"/>
      <c r="I25" s="111"/>
      <c r="J25" s="111"/>
      <c r="K25" s="111"/>
      <c r="L25" s="111"/>
      <c r="M25" s="111"/>
      <c r="N25" s="111"/>
      <c r="O25" s="111"/>
      <c r="P25" s="111"/>
      <c r="Q25" s="111"/>
      <c r="R25" s="111"/>
      <c r="S25" s="712"/>
      <c r="T25" s="111"/>
      <c r="U25" s="111"/>
      <c r="V25" s="111"/>
      <c r="W25" s="111"/>
      <c r="X25" s="132"/>
      <c r="Y25" s="133"/>
      <c r="Z25" s="132"/>
      <c r="AA25" s="132"/>
      <c r="AB25" s="133"/>
      <c r="AC25" s="132"/>
      <c r="AD25" s="132"/>
      <c r="AE25" s="133"/>
      <c r="AF25" s="132"/>
      <c r="AG25" s="67"/>
    </row>
    <row r="26" spans="1:33">
      <c r="A26" s="134"/>
      <c r="B26" s="888"/>
      <c r="C26" s="116" t="s">
        <v>905</v>
      </c>
      <c r="D26" s="144">
        <v>31</v>
      </c>
      <c r="E26" s="145">
        <v>1.2001316273397726</v>
      </c>
      <c r="F26" s="111"/>
      <c r="G26" s="111"/>
      <c r="H26" s="111"/>
      <c r="I26" s="111"/>
      <c r="J26" s="111"/>
      <c r="K26" s="111"/>
      <c r="L26" s="111"/>
      <c r="M26" s="111"/>
      <c r="N26" s="111"/>
      <c r="O26" s="111"/>
      <c r="P26" s="111"/>
      <c r="Q26" s="111"/>
      <c r="R26" s="111"/>
      <c r="S26" s="712"/>
      <c r="T26" s="111"/>
      <c r="U26" s="111"/>
      <c r="V26" s="111"/>
      <c r="W26" s="111"/>
      <c r="X26" s="132"/>
      <c r="Y26" s="133"/>
      <c r="Z26" s="132"/>
      <c r="AA26" s="132"/>
      <c r="AB26" s="133"/>
      <c r="AC26" s="132"/>
      <c r="AD26" s="132"/>
      <c r="AE26" s="133"/>
      <c r="AF26" s="132"/>
      <c r="AG26" s="67"/>
    </row>
    <row r="27" spans="1:33">
      <c r="A27" s="134"/>
      <c r="B27" s="888"/>
      <c r="C27" s="116" t="s">
        <v>906</v>
      </c>
      <c r="D27" s="144">
        <v>300</v>
      </c>
      <c r="E27" s="145">
        <v>11.614177038771993</v>
      </c>
      <c r="F27" s="111"/>
      <c r="G27" s="111"/>
      <c r="H27" s="111"/>
      <c r="I27" s="111"/>
      <c r="J27" s="111"/>
      <c r="K27" s="111"/>
      <c r="L27" s="111"/>
      <c r="M27" s="111"/>
      <c r="N27" s="111"/>
      <c r="O27" s="111"/>
      <c r="P27" s="111"/>
      <c r="Q27" s="111"/>
      <c r="R27" s="111"/>
      <c r="S27" s="712"/>
      <c r="T27" s="111"/>
      <c r="U27" s="111"/>
      <c r="V27" s="111"/>
      <c r="W27" s="111"/>
      <c r="X27" s="132"/>
      <c r="Y27" s="133"/>
      <c r="Z27" s="132"/>
      <c r="AA27" s="132"/>
      <c r="AB27" s="133"/>
      <c r="AC27" s="132"/>
      <c r="AD27" s="132"/>
      <c r="AE27" s="133"/>
      <c r="AF27" s="132"/>
      <c r="AG27" s="67"/>
    </row>
    <row r="28" spans="1:33">
      <c r="A28" s="134"/>
      <c r="B28" s="888"/>
      <c r="C28" s="116" t="s">
        <v>907</v>
      </c>
      <c r="D28" s="144">
        <v>1490</v>
      </c>
      <c r="E28" s="145">
        <v>57.683745959234237</v>
      </c>
      <c r="F28" s="111"/>
      <c r="G28" s="111"/>
      <c r="H28" s="111"/>
      <c r="I28" s="111"/>
      <c r="J28" s="111"/>
      <c r="K28" s="111"/>
      <c r="L28" s="111"/>
      <c r="M28" s="111"/>
      <c r="N28" s="111"/>
      <c r="O28" s="111"/>
      <c r="P28" s="111"/>
      <c r="Q28" s="111"/>
      <c r="R28" s="111"/>
      <c r="S28" s="712"/>
      <c r="T28" s="111"/>
      <c r="U28" s="111"/>
      <c r="V28" s="111"/>
      <c r="W28" s="111"/>
      <c r="X28" s="132"/>
      <c r="Y28" s="133"/>
      <c r="Z28" s="132"/>
      <c r="AA28" s="132"/>
      <c r="AB28" s="133"/>
      <c r="AC28" s="132"/>
      <c r="AD28" s="132"/>
      <c r="AE28" s="133"/>
      <c r="AF28" s="132"/>
      <c r="AG28" s="67"/>
    </row>
    <row r="29" spans="1:33">
      <c r="A29" s="134"/>
      <c r="B29" s="888"/>
      <c r="C29" s="116" t="s">
        <v>908</v>
      </c>
      <c r="D29" s="144">
        <v>1100</v>
      </c>
      <c r="E29" s="145">
        <v>42.585315808830643</v>
      </c>
      <c r="F29" s="111"/>
      <c r="G29" s="111"/>
      <c r="H29" s="111"/>
      <c r="I29" s="111"/>
      <c r="J29" s="111"/>
      <c r="K29" s="111"/>
      <c r="L29" s="111"/>
      <c r="M29" s="111"/>
      <c r="N29" s="111"/>
      <c r="O29" s="111"/>
      <c r="P29" s="111"/>
      <c r="Q29" s="111"/>
      <c r="R29" s="111"/>
      <c r="S29" s="712"/>
      <c r="T29" s="111"/>
      <c r="U29" s="111"/>
      <c r="V29" s="111"/>
      <c r="W29" s="111"/>
      <c r="X29" s="132"/>
      <c r="Y29" s="133"/>
      <c r="Z29" s="132"/>
      <c r="AA29" s="132"/>
      <c r="AB29" s="133"/>
      <c r="AC29" s="132"/>
      <c r="AD29" s="132"/>
      <c r="AE29" s="133"/>
      <c r="AF29" s="132"/>
      <c r="AG29" s="67"/>
    </row>
    <row r="30" spans="1:33">
      <c r="A30" s="134"/>
      <c r="B30" s="888"/>
      <c r="C30" s="116" t="s">
        <v>909</v>
      </c>
      <c r="D30" s="144">
        <v>20</v>
      </c>
      <c r="E30" s="145">
        <v>0.77427846925146626</v>
      </c>
      <c r="F30" s="111"/>
      <c r="G30" s="111"/>
      <c r="H30" s="111"/>
      <c r="I30" s="111"/>
      <c r="J30" s="111"/>
      <c r="K30" s="111"/>
      <c r="L30" s="111"/>
      <c r="M30" s="111"/>
      <c r="N30" s="111"/>
      <c r="O30" s="111"/>
      <c r="P30" s="111"/>
      <c r="Q30" s="111"/>
      <c r="R30" s="111"/>
      <c r="S30" s="712"/>
      <c r="T30" s="111"/>
      <c r="U30" s="111"/>
      <c r="V30" s="111"/>
      <c r="W30" s="111"/>
      <c r="X30" s="132"/>
      <c r="Y30" s="133"/>
      <c r="Z30" s="132"/>
      <c r="AA30" s="132"/>
      <c r="AB30" s="133"/>
      <c r="AC30" s="132"/>
      <c r="AD30" s="132"/>
      <c r="AE30" s="133"/>
      <c r="AF30" s="132"/>
      <c r="AG30" s="67"/>
    </row>
    <row r="31" spans="1:33">
      <c r="A31" s="134"/>
      <c r="B31" s="888"/>
      <c r="C31" s="116" t="s">
        <v>910</v>
      </c>
      <c r="D31" s="144">
        <v>798</v>
      </c>
      <c r="E31" s="145">
        <v>30.893710923133504</v>
      </c>
      <c r="F31" s="111"/>
      <c r="G31" s="111"/>
      <c r="H31" s="111"/>
      <c r="I31" s="111"/>
      <c r="J31" s="111"/>
      <c r="K31" s="111"/>
      <c r="L31" s="111"/>
      <c r="M31" s="111"/>
      <c r="N31" s="111"/>
      <c r="O31" s="111"/>
      <c r="P31" s="111"/>
      <c r="Q31" s="111"/>
      <c r="R31" s="111"/>
      <c r="S31" s="712"/>
      <c r="T31" s="111"/>
      <c r="U31" s="111"/>
      <c r="V31" s="111"/>
      <c r="W31" s="111"/>
      <c r="X31" s="132"/>
      <c r="Y31" s="133"/>
      <c r="Z31" s="132"/>
      <c r="AA31" s="132"/>
      <c r="AB31" s="133"/>
      <c r="AC31" s="132"/>
      <c r="AD31" s="132"/>
      <c r="AE31" s="133"/>
      <c r="AF31" s="132"/>
      <c r="AG31" s="67"/>
    </row>
    <row r="32" spans="1:33">
      <c r="A32" s="134"/>
      <c r="B32" s="888"/>
      <c r="C32" s="116" t="s">
        <v>911</v>
      </c>
      <c r="D32" s="144">
        <v>60</v>
      </c>
      <c r="E32" s="145">
        <v>2.3228354077543987</v>
      </c>
      <c r="F32" s="111"/>
      <c r="G32" s="111"/>
      <c r="H32" s="111"/>
      <c r="I32" s="111"/>
      <c r="J32" s="111"/>
      <c r="K32" s="111"/>
      <c r="L32" s="111"/>
      <c r="M32" s="111"/>
      <c r="N32" s="111"/>
      <c r="O32" s="111"/>
      <c r="P32" s="111"/>
      <c r="Q32" s="111"/>
      <c r="R32" s="111"/>
      <c r="S32" s="712"/>
      <c r="T32" s="111"/>
      <c r="U32" s="111"/>
      <c r="V32" s="111"/>
      <c r="W32" s="111"/>
      <c r="X32" s="132"/>
      <c r="Y32" s="133"/>
      <c r="Z32" s="132"/>
      <c r="AA32" s="132"/>
      <c r="AB32" s="133"/>
      <c r="AC32" s="132"/>
      <c r="AD32" s="132"/>
      <c r="AE32" s="133"/>
      <c r="AF32" s="132"/>
      <c r="AG32" s="67"/>
    </row>
    <row r="33" spans="1:33">
      <c r="A33" s="134"/>
      <c r="B33" s="888"/>
      <c r="C33" s="116" t="s">
        <v>912</v>
      </c>
      <c r="D33" s="144">
        <v>24</v>
      </c>
      <c r="E33" s="145">
        <v>0.92913416310175956</v>
      </c>
      <c r="F33" s="111"/>
      <c r="G33" s="111"/>
      <c r="H33" s="111"/>
      <c r="I33" s="111"/>
      <c r="J33" s="111"/>
      <c r="K33" s="111"/>
      <c r="L33" s="111"/>
      <c r="M33" s="111"/>
      <c r="N33" s="111"/>
      <c r="O33" s="111"/>
      <c r="P33" s="111"/>
      <c r="Q33" s="111"/>
      <c r="R33" s="111"/>
      <c r="S33" s="712"/>
      <c r="T33" s="111"/>
      <c r="U33" s="111"/>
      <c r="V33" s="111"/>
      <c r="W33" s="111"/>
      <c r="X33" s="132"/>
      <c r="Y33" s="133"/>
      <c r="Z33" s="132"/>
      <c r="AA33" s="132"/>
      <c r="AB33" s="133"/>
      <c r="AC33" s="132"/>
      <c r="AD33" s="132"/>
      <c r="AE33" s="133"/>
      <c r="AF33" s="132"/>
      <c r="AG33" s="67"/>
    </row>
    <row r="34" spans="1:33">
      <c r="A34" s="134"/>
      <c r="B34" s="888"/>
      <c r="C34" s="116" t="s">
        <v>913</v>
      </c>
      <c r="D34" s="144">
        <v>125</v>
      </c>
      <c r="E34" s="145">
        <v>4.8392404328216641</v>
      </c>
      <c r="F34" s="111"/>
      <c r="G34" s="111"/>
      <c r="H34" s="111"/>
      <c r="I34" s="111"/>
      <c r="J34" s="111"/>
      <c r="K34" s="111"/>
      <c r="L34" s="111"/>
      <c r="M34" s="111"/>
      <c r="N34" s="111"/>
      <c r="O34" s="111"/>
      <c r="P34" s="111"/>
      <c r="Q34" s="111"/>
      <c r="R34" s="111"/>
      <c r="S34" s="712"/>
      <c r="T34" s="111"/>
      <c r="U34" s="111"/>
      <c r="V34" s="111"/>
      <c r="W34" s="111"/>
      <c r="X34" s="132"/>
      <c r="Y34" s="133"/>
      <c r="Z34" s="132"/>
      <c r="AA34" s="132"/>
      <c r="AB34" s="133"/>
      <c r="AC34" s="132"/>
      <c r="AD34" s="132"/>
      <c r="AE34" s="133"/>
      <c r="AF34" s="132"/>
      <c r="AG34" s="67"/>
    </row>
    <row r="35" spans="1:33">
      <c r="A35" s="134"/>
      <c r="B35" s="888"/>
      <c r="C35" s="116" t="s">
        <v>914</v>
      </c>
      <c r="D35" s="144">
        <v>168</v>
      </c>
      <c r="E35" s="120"/>
      <c r="F35" s="111"/>
      <c r="G35" s="111"/>
      <c r="H35" s="111"/>
      <c r="I35" s="111"/>
      <c r="J35" s="111"/>
      <c r="K35" s="111"/>
      <c r="L35" s="111"/>
      <c r="M35" s="111"/>
      <c r="N35" s="111"/>
      <c r="O35" s="111"/>
      <c r="P35" s="111"/>
      <c r="Q35" s="111"/>
      <c r="R35" s="111"/>
      <c r="S35" s="712"/>
      <c r="T35" s="111"/>
      <c r="U35" s="111"/>
      <c r="V35" s="111"/>
      <c r="W35" s="111"/>
      <c r="X35" s="132"/>
      <c r="Y35" s="133"/>
      <c r="Z35" s="132"/>
      <c r="AA35" s="132"/>
      <c r="AB35" s="133"/>
      <c r="AC35" s="132"/>
      <c r="AD35" s="132"/>
      <c r="AE35" s="133"/>
      <c r="AF35" s="132"/>
      <c r="AG35" s="67"/>
    </row>
    <row r="36" spans="1:33">
      <c r="A36" s="134"/>
      <c r="B36" s="926"/>
      <c r="C36" s="116" t="s">
        <v>915</v>
      </c>
      <c r="D36" s="144">
        <v>3</v>
      </c>
      <c r="E36" s="120"/>
      <c r="F36" s="111"/>
      <c r="G36" s="111"/>
      <c r="H36" s="111"/>
      <c r="I36" s="111"/>
      <c r="J36" s="111"/>
      <c r="K36" s="111"/>
      <c r="L36" s="111"/>
      <c r="M36" s="111"/>
      <c r="N36" s="111"/>
      <c r="O36" s="111"/>
      <c r="P36" s="111"/>
      <c r="Q36" s="111"/>
      <c r="R36" s="111"/>
      <c r="S36" s="712"/>
      <c r="T36" s="111"/>
      <c r="U36" s="111"/>
      <c r="V36" s="111"/>
      <c r="W36" s="111"/>
      <c r="X36" s="132"/>
      <c r="Y36" s="133"/>
      <c r="Z36" s="132"/>
      <c r="AA36" s="132"/>
      <c r="AB36" s="133"/>
      <c r="AC36" s="132"/>
      <c r="AD36" s="132"/>
      <c r="AE36" s="133"/>
      <c r="AF36" s="132"/>
      <c r="AG36" s="67"/>
    </row>
    <row r="37" spans="1:33">
      <c r="A37" s="9"/>
      <c r="B37" s="147"/>
      <c r="C37" s="148"/>
      <c r="D37" s="149"/>
      <c r="E37" s="150"/>
      <c r="F37" s="111"/>
      <c r="G37" s="111"/>
      <c r="H37" s="111"/>
      <c r="I37" s="111"/>
      <c r="J37" s="111"/>
      <c r="K37" s="111"/>
      <c r="L37" s="111"/>
      <c r="M37" s="111"/>
      <c r="N37" s="111"/>
      <c r="O37" s="111"/>
      <c r="P37" s="111"/>
      <c r="Q37" s="111"/>
      <c r="R37" s="111"/>
      <c r="S37" s="712"/>
      <c r="T37" s="111"/>
      <c r="U37" s="111"/>
      <c r="V37" s="111"/>
      <c r="W37" s="111"/>
      <c r="X37" s="132"/>
      <c r="Y37" s="133"/>
      <c r="Z37" s="132"/>
      <c r="AA37" s="132"/>
      <c r="AB37" s="133"/>
      <c r="AC37" s="132"/>
      <c r="AD37" s="132"/>
      <c r="AE37" s="133"/>
      <c r="AF37" s="132"/>
      <c r="AG37" s="67"/>
    </row>
    <row r="38" spans="1:33">
      <c r="A38" s="9"/>
      <c r="B38" s="147"/>
      <c r="C38" s="148"/>
      <c r="D38" s="149"/>
      <c r="E38" s="111"/>
      <c r="F38" s="111"/>
      <c r="G38" s="111"/>
      <c r="H38" s="111"/>
      <c r="I38" s="111"/>
      <c r="J38" s="111"/>
      <c r="K38" s="111"/>
      <c r="L38" s="111"/>
      <c r="M38" s="111"/>
      <c r="N38" s="111"/>
      <c r="O38" s="111"/>
      <c r="P38" s="111"/>
      <c r="Q38" s="111"/>
      <c r="R38" s="111"/>
      <c r="S38" s="712"/>
      <c r="T38" s="111"/>
      <c r="U38" s="111"/>
      <c r="V38" s="111"/>
      <c r="W38" s="111"/>
      <c r="X38" s="132"/>
      <c r="Y38" s="133"/>
      <c r="Z38" s="132"/>
      <c r="AA38" s="132"/>
      <c r="AB38" s="133"/>
      <c r="AC38" s="132"/>
      <c r="AD38" s="132"/>
      <c r="AE38" s="133"/>
      <c r="AF38" s="132"/>
      <c r="AG38" s="67"/>
    </row>
    <row r="39" spans="1:33">
      <c r="A39" s="9"/>
      <c r="B39" s="927" t="s">
        <v>916</v>
      </c>
      <c r="C39" s="898"/>
      <c r="D39" s="898"/>
      <c r="E39" s="111"/>
      <c r="F39" s="111"/>
      <c r="G39" s="111"/>
      <c r="H39" s="151"/>
      <c r="I39" s="151"/>
      <c r="J39" s="151"/>
      <c r="K39" s="151"/>
      <c r="L39" s="111"/>
      <c r="M39" s="111"/>
      <c r="N39" s="111"/>
      <c r="O39" s="111"/>
      <c r="P39" s="111"/>
      <c r="Q39" s="111"/>
      <c r="R39" s="111"/>
      <c r="S39" s="712"/>
      <c r="T39" s="111"/>
      <c r="U39" s="111"/>
      <c r="V39" s="111"/>
      <c r="W39" s="111"/>
      <c r="X39" s="132"/>
      <c r="Y39" s="111"/>
      <c r="Z39" s="111"/>
      <c r="AA39" s="111"/>
      <c r="AB39" s="111"/>
      <c r="AC39" s="111"/>
      <c r="AD39" s="111"/>
      <c r="AE39" s="111"/>
      <c r="AF39" s="111"/>
      <c r="AG39" s="67"/>
    </row>
    <row r="40" spans="1:33">
      <c r="A40" s="134"/>
      <c r="B40" s="152" t="s">
        <v>755</v>
      </c>
      <c r="C40" s="143" t="s">
        <v>894</v>
      </c>
      <c r="D40" s="143" t="s">
        <v>917</v>
      </c>
      <c r="E40" s="111"/>
      <c r="F40" s="111"/>
      <c r="G40" s="111"/>
      <c r="H40" s="151"/>
      <c r="I40" s="151"/>
      <c r="J40" s="151"/>
      <c r="K40" s="151"/>
      <c r="L40" s="111"/>
      <c r="M40" s="111"/>
      <c r="N40" s="111"/>
      <c r="O40" s="111"/>
      <c r="P40" s="111"/>
      <c r="Q40" s="111"/>
      <c r="R40" s="111"/>
      <c r="S40" s="712"/>
      <c r="T40" s="111"/>
      <c r="U40" s="111"/>
      <c r="V40" s="111"/>
      <c r="W40" s="111"/>
      <c r="X40" s="132"/>
      <c r="Y40" s="111"/>
      <c r="Z40" s="111"/>
      <c r="AA40" s="111"/>
      <c r="AB40" s="111"/>
      <c r="AC40" s="111"/>
      <c r="AD40" s="111"/>
      <c r="AE40" s="111"/>
      <c r="AF40" s="111"/>
      <c r="AG40" s="67"/>
    </row>
    <row r="41" spans="1:33">
      <c r="A41" s="134"/>
      <c r="B41" s="153">
        <v>1</v>
      </c>
      <c r="C41" s="154" t="s">
        <v>918</v>
      </c>
      <c r="D41" s="144">
        <v>26500</v>
      </c>
      <c r="E41" s="111"/>
      <c r="F41" s="111"/>
      <c r="G41" s="111"/>
      <c r="H41" s="151"/>
      <c r="I41" s="151"/>
      <c r="J41" s="151"/>
      <c r="K41" s="151"/>
      <c r="L41" s="111"/>
      <c r="M41" s="111"/>
      <c r="N41" s="111"/>
      <c r="O41" s="111"/>
      <c r="P41" s="111"/>
      <c r="Q41" s="111"/>
      <c r="R41" s="111"/>
      <c r="S41" s="712"/>
      <c r="T41" s="111"/>
      <c r="U41" s="111"/>
      <c r="V41" s="111"/>
      <c r="W41" s="111"/>
      <c r="X41" s="132"/>
      <c r="Y41" s="111"/>
      <c r="Z41" s="111"/>
      <c r="AA41" s="111"/>
      <c r="AB41" s="111"/>
      <c r="AC41" s="111"/>
      <c r="AD41" s="111"/>
      <c r="AE41" s="111"/>
      <c r="AF41" s="111"/>
      <c r="AG41" s="67"/>
    </row>
    <row r="42" spans="1:33">
      <c r="A42" s="134"/>
      <c r="B42" s="153">
        <v>2</v>
      </c>
      <c r="C42" s="154" t="s">
        <v>919</v>
      </c>
      <c r="D42" s="144"/>
      <c r="E42" s="111"/>
      <c r="F42" s="111"/>
      <c r="G42" s="111"/>
      <c r="H42" s="151"/>
      <c r="I42" s="151"/>
      <c r="J42" s="151"/>
      <c r="K42" s="151"/>
      <c r="L42" s="111"/>
      <c r="M42" s="111"/>
      <c r="N42" s="111"/>
      <c r="O42" s="111"/>
      <c r="P42" s="111"/>
      <c r="Q42" s="111"/>
      <c r="R42" s="111"/>
      <c r="S42" s="712"/>
      <c r="T42" s="111"/>
      <c r="U42" s="111"/>
      <c r="V42" s="111"/>
      <c r="W42" s="111"/>
      <c r="X42" s="132"/>
      <c r="Y42" s="111"/>
      <c r="Z42" s="111"/>
      <c r="AA42" s="111"/>
      <c r="AB42" s="111"/>
      <c r="AC42" s="111"/>
      <c r="AD42" s="111"/>
      <c r="AE42" s="111"/>
      <c r="AF42" s="111"/>
      <c r="AG42" s="67"/>
    </row>
    <row r="43" spans="1:33">
      <c r="A43" s="134"/>
      <c r="B43" s="153">
        <v>3</v>
      </c>
      <c r="C43" s="154" t="s">
        <v>920</v>
      </c>
      <c r="D43" s="144">
        <v>5000</v>
      </c>
      <c r="E43" s="111"/>
      <c r="F43" s="111"/>
      <c r="G43" s="111"/>
      <c r="H43" s="151"/>
      <c r="I43" s="151"/>
      <c r="J43" s="151"/>
      <c r="K43" s="151"/>
      <c r="L43" s="111"/>
      <c r="M43" s="111"/>
      <c r="N43" s="111"/>
      <c r="O43" s="111"/>
      <c r="P43" s="111"/>
      <c r="Q43" s="111"/>
      <c r="R43" s="111"/>
      <c r="S43" s="712"/>
      <c r="T43" s="111"/>
      <c r="U43" s="111"/>
      <c r="V43" s="111"/>
      <c r="W43" s="111"/>
      <c r="X43" s="132"/>
      <c r="Y43" s="111"/>
      <c r="Z43" s="111"/>
      <c r="AA43" s="111"/>
      <c r="AB43" s="111"/>
      <c r="AC43" s="111"/>
      <c r="AD43" s="111"/>
      <c r="AE43" s="111"/>
      <c r="AF43" s="111"/>
      <c r="AG43" s="67"/>
    </row>
    <row r="44" spans="1:33">
      <c r="A44" s="134"/>
      <c r="B44" s="153">
        <v>4</v>
      </c>
      <c r="C44" s="154" t="s">
        <v>921</v>
      </c>
      <c r="D44" s="144">
        <v>150</v>
      </c>
      <c r="E44" s="111"/>
      <c r="F44" s="111"/>
      <c r="G44" s="111"/>
      <c r="H44" s="151"/>
      <c r="I44" s="151"/>
      <c r="J44" s="151"/>
      <c r="K44" s="151"/>
      <c r="L44" s="111"/>
      <c r="M44" s="111"/>
      <c r="N44" s="111"/>
      <c r="O44" s="111"/>
      <c r="P44" s="111"/>
      <c r="Q44" s="111"/>
      <c r="R44" s="111"/>
      <c r="S44" s="712"/>
      <c r="T44" s="111"/>
      <c r="U44" s="111"/>
      <c r="V44" s="111"/>
      <c r="W44" s="111"/>
      <c r="X44" s="132"/>
      <c r="Y44" s="111"/>
      <c r="Z44" s="111"/>
      <c r="AA44" s="111"/>
      <c r="AB44" s="111"/>
      <c r="AC44" s="111"/>
      <c r="AD44" s="111"/>
      <c r="AE44" s="111"/>
      <c r="AF44" s="111"/>
      <c r="AG44" s="67"/>
    </row>
    <row r="45" spans="1:33">
      <c r="A45" s="134"/>
      <c r="B45" s="153">
        <v>5</v>
      </c>
      <c r="C45" s="154" t="s">
        <v>922</v>
      </c>
      <c r="D45" s="144">
        <v>4200</v>
      </c>
      <c r="E45" s="111"/>
      <c r="F45" s="111"/>
      <c r="G45" s="111"/>
      <c r="H45" s="151"/>
      <c r="I45" s="151"/>
      <c r="J45" s="151"/>
      <c r="K45" s="151"/>
      <c r="L45" s="111"/>
      <c r="M45" s="111"/>
      <c r="N45" s="111"/>
      <c r="O45" s="111"/>
      <c r="P45" s="111"/>
      <c r="Q45" s="111"/>
      <c r="R45" s="111"/>
      <c r="S45" s="712"/>
      <c r="T45" s="111"/>
      <c r="U45" s="111"/>
      <c r="V45" s="111"/>
      <c r="W45" s="111"/>
      <c r="X45" s="132"/>
      <c r="Y45" s="111"/>
      <c r="Z45" s="111"/>
      <c r="AA45" s="111"/>
      <c r="AB45" s="111"/>
      <c r="AC45" s="111"/>
      <c r="AD45" s="111"/>
      <c r="AE45" s="111"/>
      <c r="AF45" s="111"/>
      <c r="AG45" s="67"/>
    </row>
    <row r="46" spans="1:33">
      <c r="A46" s="134"/>
      <c r="B46" s="153">
        <v>6</v>
      </c>
      <c r="C46" s="154" t="s">
        <v>923</v>
      </c>
      <c r="D46" s="144">
        <v>350</v>
      </c>
      <c r="E46" s="111"/>
      <c r="F46" s="111"/>
      <c r="G46" s="111"/>
      <c r="H46" s="151"/>
      <c r="I46" s="151"/>
      <c r="J46" s="151"/>
      <c r="K46" s="151"/>
      <c r="L46" s="111"/>
      <c r="M46" s="111"/>
      <c r="N46" s="111"/>
      <c r="O46" s="111"/>
      <c r="P46" s="111"/>
      <c r="Q46" s="111"/>
      <c r="R46" s="111"/>
      <c r="S46" s="712"/>
      <c r="T46" s="111"/>
      <c r="U46" s="111"/>
      <c r="V46" s="111"/>
      <c r="W46" s="111"/>
      <c r="X46" s="132"/>
      <c r="Y46" s="111"/>
      <c r="Z46" s="111"/>
      <c r="AA46" s="111"/>
      <c r="AB46" s="111"/>
      <c r="AC46" s="111"/>
      <c r="AD46" s="111"/>
      <c r="AE46" s="111"/>
      <c r="AF46" s="111"/>
      <c r="AG46" s="67"/>
    </row>
    <row r="47" spans="1:33">
      <c r="A47" s="134"/>
      <c r="B47" s="153">
        <v>7</v>
      </c>
      <c r="C47" s="154" t="s">
        <v>924</v>
      </c>
      <c r="D47" s="144">
        <v>270</v>
      </c>
      <c r="E47" s="111"/>
      <c r="F47" s="111"/>
      <c r="G47" s="111"/>
      <c r="H47" s="151"/>
      <c r="I47" s="151"/>
      <c r="J47" s="151"/>
      <c r="K47" s="151"/>
      <c r="L47" s="111"/>
      <c r="M47" s="111"/>
      <c r="N47" s="111"/>
      <c r="O47" s="111"/>
      <c r="P47" s="111"/>
      <c r="Q47" s="111"/>
      <c r="R47" s="111"/>
      <c r="S47" s="712"/>
      <c r="T47" s="111"/>
      <c r="U47" s="111"/>
      <c r="V47" s="111"/>
      <c r="W47" s="111"/>
      <c r="X47" s="132"/>
      <c r="Y47" s="111"/>
      <c r="Z47" s="111"/>
      <c r="AA47" s="111"/>
      <c r="AB47" s="111"/>
      <c r="AC47" s="111"/>
      <c r="AD47" s="111"/>
      <c r="AE47" s="111"/>
      <c r="AF47" s="111"/>
      <c r="AG47" s="67"/>
    </row>
    <row r="48" spans="1:33">
      <c r="A48" s="134"/>
      <c r="B48" s="153">
        <v>8</v>
      </c>
      <c r="C48" s="154" t="s">
        <v>925</v>
      </c>
      <c r="D48" s="144">
        <v>4032</v>
      </c>
      <c r="E48" s="111"/>
      <c r="F48" s="111"/>
      <c r="G48" s="111"/>
      <c r="H48" s="151"/>
      <c r="I48" s="151"/>
      <c r="J48" s="151"/>
      <c r="K48" s="151"/>
      <c r="L48" s="111"/>
      <c r="M48" s="111"/>
      <c r="N48" s="111"/>
      <c r="O48" s="111"/>
      <c r="P48" s="111"/>
      <c r="Q48" s="111"/>
      <c r="R48" s="111"/>
      <c r="S48" s="712"/>
      <c r="T48" s="111"/>
      <c r="U48" s="111"/>
      <c r="V48" s="111"/>
      <c r="W48" s="111"/>
      <c r="X48" s="132"/>
      <c r="Y48" s="111"/>
      <c r="Z48" s="111"/>
      <c r="AA48" s="111"/>
      <c r="AB48" s="111"/>
      <c r="AC48" s="111"/>
      <c r="AD48" s="111"/>
      <c r="AE48" s="111"/>
      <c r="AF48" s="111"/>
      <c r="AG48" s="67"/>
    </row>
    <row r="49" spans="1:33">
      <c r="A49" s="134"/>
      <c r="B49" s="153">
        <v>9</v>
      </c>
      <c r="C49" s="154" t="s">
        <v>926</v>
      </c>
      <c r="D49" s="144">
        <v>12000</v>
      </c>
      <c r="E49" s="111"/>
      <c r="F49" s="111"/>
      <c r="G49" s="111"/>
      <c r="H49" s="151"/>
      <c r="I49" s="151"/>
      <c r="J49" s="151"/>
      <c r="K49" s="151"/>
      <c r="L49" s="111"/>
      <c r="M49" s="111"/>
      <c r="N49" s="111"/>
      <c r="O49" s="111"/>
      <c r="P49" s="111"/>
      <c r="Q49" s="111"/>
      <c r="R49" s="111"/>
      <c r="S49" s="712"/>
      <c r="T49" s="111"/>
      <c r="U49" s="111"/>
      <c r="V49" s="111"/>
      <c r="W49" s="111"/>
      <c r="X49" s="132"/>
      <c r="Y49" s="111"/>
      <c r="Z49" s="111"/>
      <c r="AA49" s="111"/>
      <c r="AB49" s="111"/>
      <c r="AC49" s="111"/>
      <c r="AD49" s="111"/>
      <c r="AE49" s="111"/>
      <c r="AF49" s="111"/>
      <c r="AG49" s="67"/>
    </row>
    <row r="50" spans="1:33">
      <c r="A50" s="134"/>
      <c r="B50" s="153">
        <v>10</v>
      </c>
      <c r="C50" s="154" t="s">
        <v>927</v>
      </c>
      <c r="D50" s="144">
        <v>2948</v>
      </c>
      <c r="E50" s="111"/>
      <c r="F50" s="111"/>
      <c r="G50" s="111"/>
      <c r="H50" s="151"/>
      <c r="I50" s="151"/>
      <c r="J50" s="151"/>
      <c r="K50" s="151"/>
      <c r="L50" s="111"/>
      <c r="M50" s="111"/>
      <c r="N50" s="111"/>
      <c r="O50" s="111"/>
      <c r="P50" s="111"/>
      <c r="Q50" s="111"/>
      <c r="R50" s="111"/>
      <c r="S50" s="712"/>
      <c r="T50" s="111"/>
      <c r="U50" s="111"/>
      <c r="V50" s="111"/>
      <c r="W50" s="111"/>
      <c r="X50" s="132"/>
      <c r="Y50" s="111"/>
      <c r="Z50" s="111"/>
      <c r="AA50" s="111"/>
      <c r="AB50" s="111"/>
      <c r="AC50" s="111"/>
      <c r="AD50" s="111"/>
      <c r="AE50" s="111"/>
      <c r="AF50" s="111"/>
      <c r="AG50" s="67"/>
    </row>
    <row r="51" spans="1:33">
      <c r="A51" s="134"/>
      <c r="B51" s="153">
        <v>11</v>
      </c>
      <c r="C51" s="154" t="s">
        <v>928</v>
      </c>
      <c r="D51" s="144">
        <v>10500</v>
      </c>
      <c r="E51" s="111"/>
      <c r="F51" s="111"/>
      <c r="G51" s="111"/>
      <c r="H51" s="151"/>
      <c r="I51" s="151"/>
      <c r="J51" s="151"/>
      <c r="K51" s="151"/>
      <c r="L51" s="111"/>
      <c r="M51" s="111"/>
      <c r="N51" s="111"/>
      <c r="O51" s="111"/>
      <c r="P51" s="111"/>
      <c r="Q51" s="111"/>
      <c r="R51" s="111"/>
      <c r="S51" s="712"/>
      <c r="T51" s="111"/>
      <c r="U51" s="111"/>
      <c r="V51" s="111"/>
      <c r="W51" s="111"/>
      <c r="X51" s="132"/>
      <c r="Y51" s="111"/>
      <c r="Z51" s="111"/>
      <c r="AA51" s="111"/>
      <c r="AB51" s="111"/>
      <c r="AC51" s="111"/>
      <c r="AD51" s="111"/>
      <c r="AE51" s="111"/>
      <c r="AF51" s="111"/>
      <c r="AG51" s="67"/>
    </row>
    <row r="52" spans="1:33">
      <c r="A52" s="134"/>
      <c r="B52" s="153">
        <v>12</v>
      </c>
      <c r="C52" s="154" t="s">
        <v>929</v>
      </c>
      <c r="D52" s="144">
        <v>2000</v>
      </c>
      <c r="E52" s="111"/>
      <c r="F52" s="111"/>
      <c r="G52" s="111"/>
      <c r="H52" s="151"/>
      <c r="I52" s="151"/>
      <c r="J52" s="151"/>
      <c r="K52" s="151"/>
      <c r="L52" s="111"/>
      <c r="M52" s="111"/>
      <c r="N52" s="111"/>
      <c r="O52" s="111"/>
      <c r="P52" s="111"/>
      <c r="Q52" s="111"/>
      <c r="R52" s="111"/>
      <c r="S52" s="712"/>
      <c r="T52" s="111"/>
      <c r="U52" s="111"/>
      <c r="V52" s="111"/>
      <c r="W52" s="111"/>
      <c r="X52" s="132"/>
      <c r="Y52" s="111"/>
      <c r="Z52" s="111"/>
      <c r="AA52" s="111"/>
      <c r="AB52" s="111"/>
      <c r="AC52" s="111"/>
      <c r="AD52" s="111"/>
      <c r="AE52" s="111"/>
      <c r="AF52" s="111"/>
      <c r="AG52" s="67"/>
    </row>
    <row r="53" spans="1:33">
      <c r="A53" s="134"/>
      <c r="B53" s="153">
        <v>13</v>
      </c>
      <c r="C53" s="154" t="s">
        <v>930</v>
      </c>
      <c r="D53" s="144">
        <v>2000</v>
      </c>
      <c r="E53" s="111"/>
      <c r="F53" s="111"/>
      <c r="G53" s="111"/>
      <c r="H53" s="151"/>
      <c r="I53" s="151"/>
      <c r="J53" s="151"/>
      <c r="K53" s="151"/>
      <c r="L53" s="111"/>
      <c r="M53" s="111"/>
      <c r="N53" s="111"/>
      <c r="O53" s="111"/>
      <c r="P53" s="111"/>
      <c r="Q53" s="111"/>
      <c r="R53" s="111"/>
      <c r="S53" s="712"/>
      <c r="T53" s="111"/>
      <c r="U53" s="111"/>
      <c r="V53" s="111"/>
      <c r="W53" s="111"/>
      <c r="X53" s="132"/>
      <c r="Y53" s="111"/>
      <c r="Z53" s="111"/>
      <c r="AA53" s="111"/>
      <c r="AB53" s="111"/>
      <c r="AC53" s="111"/>
      <c r="AD53" s="111"/>
      <c r="AE53" s="111"/>
      <c r="AF53" s="111"/>
      <c r="AG53" s="67"/>
    </row>
    <row r="54" spans="1:33">
      <c r="A54" s="134"/>
      <c r="B54" s="155"/>
      <c r="C54" s="155" t="s">
        <v>770</v>
      </c>
      <c r="D54" s="156">
        <f>SUM($D$41:$D$53)</f>
        <v>69950</v>
      </c>
      <c r="E54" s="111"/>
      <c r="F54" s="111"/>
      <c r="G54" s="111"/>
      <c r="H54" s="151"/>
      <c r="I54" s="151"/>
      <c r="J54" s="151"/>
      <c r="K54" s="151"/>
      <c r="L54" s="111"/>
      <c r="M54" s="111"/>
      <c r="N54" s="111"/>
      <c r="O54" s="111"/>
      <c r="P54" s="111"/>
      <c r="Q54" s="111"/>
      <c r="R54" s="111"/>
      <c r="S54" s="712"/>
      <c r="T54" s="111"/>
      <c r="U54" s="111"/>
      <c r="V54" s="111"/>
      <c r="W54" s="111"/>
      <c r="X54" s="132"/>
      <c r="Y54" s="111"/>
      <c r="Z54" s="111"/>
      <c r="AA54" s="111"/>
      <c r="AB54" s="111"/>
      <c r="AC54" s="111"/>
      <c r="AD54" s="111"/>
      <c r="AE54" s="111"/>
      <c r="AF54" s="111"/>
      <c r="AG54" s="67"/>
    </row>
    <row r="55" spans="1:33">
      <c r="A55" s="9"/>
      <c r="B55" s="147"/>
      <c r="C55" s="148"/>
      <c r="D55" s="149"/>
      <c r="E55" s="111"/>
      <c r="F55" s="111"/>
      <c r="G55" s="111"/>
      <c r="H55" s="111"/>
      <c r="I55" s="111"/>
      <c r="J55" s="111"/>
      <c r="K55" s="111"/>
      <c r="L55" s="111"/>
      <c r="M55" s="111"/>
      <c r="N55" s="111"/>
      <c r="O55" s="111"/>
      <c r="P55" s="111"/>
      <c r="Q55" s="111"/>
      <c r="R55" s="111"/>
      <c r="S55" s="712"/>
      <c r="T55" s="111"/>
      <c r="U55" s="111"/>
      <c r="V55" s="111"/>
      <c r="W55" s="111"/>
      <c r="X55" s="132"/>
      <c r="Y55" s="133"/>
      <c r="Z55" s="132"/>
      <c r="AA55" s="132"/>
      <c r="AB55" s="133"/>
      <c r="AC55" s="132"/>
      <c r="AD55" s="132"/>
      <c r="AE55" s="133"/>
      <c r="AF55" s="132"/>
      <c r="AG55" s="67"/>
    </row>
    <row r="56" spans="1:33">
      <c r="A56" s="9"/>
      <c r="B56" s="147"/>
      <c r="C56" s="148"/>
      <c r="D56" s="149"/>
      <c r="E56" s="111"/>
      <c r="F56" s="111"/>
      <c r="G56" s="111"/>
      <c r="H56" s="111"/>
      <c r="I56" s="111"/>
      <c r="J56" s="111"/>
      <c r="K56" s="111"/>
      <c r="L56" s="111"/>
      <c r="M56" s="111"/>
      <c r="N56" s="111"/>
      <c r="O56" s="111"/>
      <c r="P56" s="111"/>
      <c r="Q56" s="111"/>
      <c r="R56" s="111"/>
      <c r="S56" s="712"/>
      <c r="T56" s="111"/>
      <c r="U56" s="111"/>
      <c r="V56" s="111"/>
      <c r="W56" s="111"/>
      <c r="X56" s="132"/>
      <c r="Y56" s="133"/>
      <c r="Z56" s="132"/>
      <c r="AA56" s="132"/>
      <c r="AB56" s="133"/>
      <c r="AC56" s="132"/>
      <c r="AD56" s="132"/>
      <c r="AE56" s="133"/>
      <c r="AF56" s="132"/>
      <c r="AG56" s="67"/>
    </row>
    <row r="57" spans="1:33">
      <c r="A57" s="9"/>
      <c r="B57" s="147"/>
      <c r="C57" s="148"/>
      <c r="D57" s="149"/>
      <c r="E57" s="150"/>
      <c r="F57" s="111"/>
      <c r="G57" s="111"/>
      <c r="H57" s="111"/>
      <c r="I57" s="111"/>
      <c r="J57" s="111"/>
      <c r="K57" s="111"/>
      <c r="L57" s="111"/>
      <c r="M57" s="111"/>
      <c r="N57" s="111"/>
      <c r="O57" s="111"/>
      <c r="P57" s="111"/>
      <c r="Q57" s="111"/>
      <c r="R57" s="111"/>
      <c r="S57" s="712"/>
      <c r="T57" s="111"/>
      <c r="U57" s="111"/>
      <c r="V57" s="111"/>
      <c r="W57" s="111"/>
      <c r="X57" s="132"/>
      <c r="Y57" s="133"/>
      <c r="Z57" s="132"/>
      <c r="AA57" s="132"/>
      <c r="AB57" s="133"/>
      <c r="AC57" s="132"/>
      <c r="AD57" s="132"/>
      <c r="AE57" s="133"/>
      <c r="AF57" s="132"/>
      <c r="AG57" s="67"/>
    </row>
    <row r="58" spans="1:33">
      <c r="A58" s="719"/>
      <c r="B58" s="720"/>
      <c r="C58" s="721"/>
      <c r="D58" s="722"/>
      <c r="E58" s="723"/>
      <c r="F58" s="724"/>
      <c r="G58" s="724"/>
      <c r="H58" s="724"/>
      <c r="I58" s="724"/>
      <c r="J58" s="724"/>
      <c r="K58" s="724"/>
      <c r="L58" s="724"/>
      <c r="M58" s="724"/>
      <c r="N58" s="724"/>
      <c r="O58" s="724"/>
      <c r="P58" s="724"/>
      <c r="Q58" s="724"/>
      <c r="R58" s="724"/>
      <c r="S58" s="712"/>
      <c r="T58" s="111"/>
      <c r="U58" s="111"/>
      <c r="V58" s="111"/>
      <c r="W58" s="111"/>
      <c r="X58" s="132"/>
      <c r="Y58" s="133"/>
      <c r="Z58" s="132"/>
      <c r="AA58" s="132"/>
      <c r="AB58" s="133"/>
      <c r="AC58" s="132"/>
      <c r="AD58" s="132"/>
      <c r="AE58" s="133"/>
      <c r="AF58" s="132"/>
      <c r="AG58" s="67"/>
    </row>
    <row r="59" spans="1:33">
      <c r="A59" s="9"/>
      <c r="B59" s="111"/>
      <c r="C59" s="111"/>
      <c r="D59" s="111"/>
      <c r="E59" s="111"/>
      <c r="F59" s="111"/>
      <c r="G59" s="111"/>
      <c r="H59" s="111"/>
      <c r="I59" s="111"/>
      <c r="J59" s="111"/>
      <c r="K59" s="111"/>
      <c r="L59" s="111"/>
      <c r="M59" s="111"/>
      <c r="N59" s="111"/>
      <c r="O59" s="111"/>
      <c r="P59" s="111"/>
      <c r="Q59" s="111"/>
      <c r="R59" s="111"/>
      <c r="S59" s="712"/>
      <c r="T59" s="111"/>
      <c r="U59" s="111"/>
      <c r="V59" s="111"/>
      <c r="W59" s="111"/>
      <c r="X59" s="132"/>
      <c r="Y59" s="133"/>
      <c r="Z59" s="132"/>
      <c r="AA59" s="132"/>
      <c r="AB59" s="133"/>
      <c r="AC59" s="132"/>
      <c r="AD59" s="132"/>
      <c r="AE59" s="133"/>
      <c r="AF59" s="132"/>
      <c r="AG59" s="67"/>
    </row>
    <row r="60" spans="1:33">
      <c r="A60" s="9"/>
      <c r="B60" s="111"/>
      <c r="C60" s="111"/>
      <c r="D60" s="111"/>
      <c r="E60" s="111"/>
      <c r="F60" s="111"/>
      <c r="G60" s="111"/>
      <c r="H60" s="111"/>
      <c r="I60" s="111"/>
      <c r="J60" s="111"/>
      <c r="K60" s="111"/>
      <c r="L60" s="111"/>
      <c r="M60" s="111"/>
      <c r="N60" s="111"/>
      <c r="O60" s="111"/>
      <c r="P60" s="111"/>
      <c r="Q60" s="111"/>
      <c r="R60" s="111"/>
      <c r="S60" s="712"/>
      <c r="T60" s="111"/>
      <c r="U60" s="111"/>
      <c r="V60" s="111"/>
      <c r="W60" s="111"/>
      <c r="X60" s="132"/>
      <c r="Y60" s="133"/>
      <c r="Z60" s="132"/>
      <c r="AA60" s="132"/>
      <c r="AB60" s="133"/>
      <c r="AC60" s="132"/>
      <c r="AD60" s="132"/>
      <c r="AE60" s="133"/>
      <c r="AF60" s="132"/>
      <c r="AG60" s="67"/>
    </row>
    <row r="61" spans="1:33">
      <c r="A61" s="9"/>
      <c r="B61" s="111"/>
      <c r="C61" s="111"/>
      <c r="D61" s="111"/>
      <c r="E61" s="111"/>
      <c r="F61" s="111"/>
      <c r="G61" s="111"/>
      <c r="H61" s="111"/>
      <c r="I61" s="111"/>
      <c r="J61" s="111"/>
      <c r="K61" s="111"/>
      <c r="L61" s="111"/>
      <c r="M61" s="111"/>
      <c r="N61" s="111"/>
      <c r="O61" s="111"/>
      <c r="P61" s="111"/>
      <c r="Q61" s="111"/>
      <c r="R61" s="111"/>
      <c r="S61" s="712"/>
      <c r="T61" s="111"/>
      <c r="U61" s="111"/>
      <c r="V61" s="111"/>
      <c r="W61" s="111"/>
      <c r="X61" s="111"/>
      <c r="Y61" s="111"/>
      <c r="Z61" s="111"/>
      <c r="AA61" s="111"/>
      <c r="AB61" s="111"/>
      <c r="AC61" s="111"/>
      <c r="AD61" s="111"/>
      <c r="AE61" s="111"/>
      <c r="AF61" s="111"/>
      <c r="AG61" s="67"/>
    </row>
    <row r="62" spans="1:33">
      <c r="A62" s="9"/>
      <c r="B62" s="111"/>
      <c r="C62" s="111"/>
      <c r="D62" s="111"/>
      <c r="E62" s="111"/>
      <c r="F62" s="111"/>
      <c r="G62" s="111"/>
      <c r="H62" s="111"/>
      <c r="I62" s="111"/>
      <c r="J62" s="111"/>
      <c r="K62" s="111"/>
      <c r="L62" s="111"/>
      <c r="M62" s="111"/>
      <c r="N62" s="111"/>
      <c r="O62" s="111"/>
      <c r="P62" s="111"/>
      <c r="Q62" s="111"/>
      <c r="R62" s="111"/>
      <c r="S62" s="712"/>
      <c r="T62" s="111"/>
      <c r="U62" s="111"/>
      <c r="V62" s="111"/>
      <c r="W62" s="111"/>
      <c r="X62" s="132"/>
      <c r="Y62" s="133"/>
      <c r="Z62" s="132"/>
      <c r="AA62" s="132"/>
      <c r="AB62" s="133"/>
      <c r="AC62" s="132"/>
      <c r="AD62" s="132"/>
      <c r="AE62" s="133"/>
      <c r="AF62" s="132"/>
      <c r="AG62" s="67"/>
    </row>
    <row r="63" spans="1:33">
      <c r="A63" s="725">
        <v>1</v>
      </c>
      <c r="B63" s="726" t="e" vm="1">
        <f>'[2]AUN Budget'!$E$6</f>
        <v>#VALUE!</v>
      </c>
      <c r="C63" s="726"/>
      <c r="D63" s="646"/>
      <c r="E63" s="646"/>
      <c r="F63" s="921">
        <v>2021</v>
      </c>
      <c r="G63" s="904"/>
      <c r="H63" s="904"/>
      <c r="I63" s="904"/>
      <c r="J63" s="920">
        <v>2022</v>
      </c>
      <c r="K63" s="898"/>
      <c r="L63" s="898"/>
      <c r="M63" s="898"/>
      <c r="N63" s="920">
        <v>2023</v>
      </c>
      <c r="O63" s="898"/>
      <c r="P63" s="898"/>
      <c r="Q63" s="898"/>
      <c r="R63" s="111"/>
      <c r="S63" s="712"/>
      <c r="T63" s="111"/>
      <c r="U63" s="111"/>
      <c r="V63" s="111"/>
      <c r="W63" s="111"/>
      <c r="X63" s="132"/>
      <c r="Y63" s="133"/>
      <c r="Z63" s="132"/>
      <c r="AA63" s="132"/>
      <c r="AB63" s="133"/>
      <c r="AC63" s="132"/>
      <c r="AD63" s="132"/>
      <c r="AE63" s="133"/>
      <c r="AF63" s="132"/>
      <c r="AG63" s="67"/>
    </row>
    <row r="64" spans="1:33">
      <c r="A64" s="157" t="s">
        <v>147</v>
      </c>
      <c r="B64" s="113" t="s">
        <v>755</v>
      </c>
      <c r="C64" s="113" t="s">
        <v>756</v>
      </c>
      <c r="D64" s="113" t="s">
        <v>697</v>
      </c>
      <c r="E64" s="113" t="s">
        <v>757</v>
      </c>
      <c r="F64" s="113" t="s">
        <v>931</v>
      </c>
      <c r="G64" s="113" t="s">
        <v>759</v>
      </c>
      <c r="H64" s="113" t="s">
        <v>932</v>
      </c>
      <c r="I64" s="113" t="s">
        <v>933</v>
      </c>
      <c r="J64" s="113" t="s">
        <v>931</v>
      </c>
      <c r="K64" s="113" t="s">
        <v>759</v>
      </c>
      <c r="L64" s="113" t="s">
        <v>932</v>
      </c>
      <c r="M64" s="113" t="s">
        <v>933</v>
      </c>
      <c r="N64" s="158" t="s">
        <v>931</v>
      </c>
      <c r="O64" s="158" t="s">
        <v>759</v>
      </c>
      <c r="P64" s="158" t="s">
        <v>932</v>
      </c>
      <c r="Q64" s="113" t="s">
        <v>933</v>
      </c>
      <c r="R64" s="111"/>
      <c r="S64" s="712"/>
      <c r="T64" s="159" t="s">
        <v>387</v>
      </c>
      <c r="U64" s="159" t="s">
        <v>388</v>
      </c>
      <c r="V64" s="159" t="s">
        <v>934</v>
      </c>
      <c r="W64" s="160" t="s">
        <v>935</v>
      </c>
      <c r="X64" s="161" t="s">
        <v>936</v>
      </c>
      <c r="Y64" s="162" t="s">
        <v>937</v>
      </c>
      <c r="Z64" s="161" t="s">
        <v>938</v>
      </c>
      <c r="AA64" s="161" t="s">
        <v>939</v>
      </c>
      <c r="AB64" s="162" t="s">
        <v>940</v>
      </c>
      <c r="AC64" s="161" t="s">
        <v>941</v>
      </c>
      <c r="AD64" s="161" t="s">
        <v>942</v>
      </c>
      <c r="AE64" s="162" t="s">
        <v>943</v>
      </c>
      <c r="AF64" s="161" t="s">
        <v>944</v>
      </c>
      <c r="AG64" s="67"/>
    </row>
    <row r="65" spans="1:33">
      <c r="A65" s="134"/>
      <c r="B65" s="153">
        <v>1</v>
      </c>
      <c r="C65" s="163" t="s">
        <v>945</v>
      </c>
      <c r="D65" s="121" t="s">
        <v>764</v>
      </c>
      <c r="E65" s="164">
        <f>'Assumptions TRC_AUN'!$E$33</f>
        <v>3334</v>
      </c>
      <c r="F65" s="165"/>
      <c r="G65" s="166">
        <v>124</v>
      </c>
      <c r="H65" s="153"/>
      <c r="I65" s="167">
        <f t="shared" ref="I65:I69" si="1">E65*G65</f>
        <v>413416</v>
      </c>
      <c r="J65" s="165"/>
      <c r="K65" s="166">
        <v>124</v>
      </c>
      <c r="L65" s="153"/>
      <c r="M65" s="167">
        <f t="shared" ref="M65:M66" si="2">E65*K65</f>
        <v>413416</v>
      </c>
      <c r="N65" s="165"/>
      <c r="O65" s="166">
        <v>10</v>
      </c>
      <c r="P65" s="153"/>
      <c r="Q65" s="168">
        <v>159120</v>
      </c>
      <c r="R65" s="111"/>
      <c r="S65" s="712"/>
      <c r="T65" s="169" t="s">
        <v>946</v>
      </c>
      <c r="U65" s="169" t="s">
        <v>946</v>
      </c>
      <c r="V65" s="121" t="s">
        <v>848</v>
      </c>
      <c r="W65" s="164" t="s">
        <v>947</v>
      </c>
      <c r="X65" s="170">
        <f>E65</f>
        <v>3334</v>
      </c>
      <c r="Y65" s="171">
        <f>$G$65</f>
        <v>124</v>
      </c>
      <c r="Z65" s="172">
        <f t="shared" ref="Z65:Z71" si="3">X65*Y65</f>
        <v>413416</v>
      </c>
      <c r="AA65" s="170">
        <f>$E$65</f>
        <v>3334</v>
      </c>
      <c r="AB65" s="171">
        <f t="shared" ref="AB65:AB71" si="4">AC65/AA65</f>
        <v>124</v>
      </c>
      <c r="AC65" s="172">
        <f t="shared" ref="AC65:AC71" si="5">M65</f>
        <v>413416</v>
      </c>
      <c r="AD65" s="170">
        <f t="shared" ref="AD65:AD70" si="6">AA65</f>
        <v>3334</v>
      </c>
      <c r="AE65" s="171">
        <f t="shared" ref="AE65:AE71" si="7">AF65/AD65</f>
        <v>47.726454709058189</v>
      </c>
      <c r="AF65" s="172">
        <f t="shared" ref="AF65:AF71" si="8">Q65</f>
        <v>159120</v>
      </c>
      <c r="AG65" s="67"/>
    </row>
    <row r="66" spans="1:33">
      <c r="A66" s="134"/>
      <c r="B66" s="153">
        <v>2</v>
      </c>
      <c r="C66" s="163" t="s">
        <v>948</v>
      </c>
      <c r="D66" s="121" t="s">
        <v>949</v>
      </c>
      <c r="E66" s="164">
        <f>'Assumptions TRC_AUN'!$I$71/2</f>
        <v>52696.125</v>
      </c>
      <c r="F66" s="165"/>
      <c r="G66" s="173">
        <v>2</v>
      </c>
      <c r="H66" s="153"/>
      <c r="I66" s="167">
        <f t="shared" si="1"/>
        <v>105392.25</v>
      </c>
      <c r="J66" s="165"/>
      <c r="K66" s="173">
        <v>1</v>
      </c>
      <c r="L66" s="153"/>
      <c r="M66" s="167">
        <f t="shared" si="2"/>
        <v>52696.125</v>
      </c>
      <c r="N66" s="165"/>
      <c r="O66" s="173">
        <v>1</v>
      </c>
      <c r="P66" s="153"/>
      <c r="Q66" s="168">
        <v>10608</v>
      </c>
      <c r="R66" s="111"/>
      <c r="S66" s="712"/>
      <c r="T66" s="169" t="s">
        <v>946</v>
      </c>
      <c r="U66" s="169" t="s">
        <v>946</v>
      </c>
      <c r="V66" s="121" t="s">
        <v>950</v>
      </c>
      <c r="W66" s="121" t="s">
        <v>951</v>
      </c>
      <c r="X66" s="170">
        <f>'Assumptions TRC_AUN'!$J$72</f>
        <v>878.26874999999995</v>
      </c>
      <c r="Y66" s="171">
        <f>'Assumptions TRC_AUN'!$I$73</f>
        <v>60</v>
      </c>
      <c r="Z66" s="172">
        <f t="shared" si="3"/>
        <v>52696.125</v>
      </c>
      <c r="AA66" s="170">
        <f>'Assumptions TRC_AUN'!$J$72</f>
        <v>878.26874999999995</v>
      </c>
      <c r="AB66" s="171">
        <f t="shared" si="4"/>
        <v>60</v>
      </c>
      <c r="AC66" s="172">
        <f t="shared" si="5"/>
        <v>52696.125</v>
      </c>
      <c r="AD66" s="170">
        <f t="shared" si="6"/>
        <v>878.26874999999995</v>
      </c>
      <c r="AE66" s="171">
        <f t="shared" si="7"/>
        <v>12.078307465681775</v>
      </c>
      <c r="AF66" s="172">
        <f t="shared" si="8"/>
        <v>10608</v>
      </c>
      <c r="AG66" s="67"/>
    </row>
    <row r="67" spans="1:33">
      <c r="A67" s="134"/>
      <c r="B67" s="153">
        <v>3</v>
      </c>
      <c r="C67" s="163" t="s">
        <v>952</v>
      </c>
      <c r="D67" s="121" t="s">
        <v>953</v>
      </c>
      <c r="E67" s="164">
        <v>85000</v>
      </c>
      <c r="F67" s="165"/>
      <c r="G67" s="166">
        <v>1</v>
      </c>
      <c r="H67" s="153"/>
      <c r="I67" s="167">
        <f t="shared" si="1"/>
        <v>85000</v>
      </c>
      <c r="J67" s="165"/>
      <c r="K67" s="166"/>
      <c r="L67" s="153"/>
      <c r="M67" s="167">
        <f>I67*K67</f>
        <v>0</v>
      </c>
      <c r="N67" s="165"/>
      <c r="O67" s="166"/>
      <c r="P67" s="153"/>
      <c r="Q67" s="168">
        <f>M67*O67</f>
        <v>0</v>
      </c>
      <c r="R67" s="111"/>
      <c r="S67" s="712"/>
      <c r="T67" s="169" t="s">
        <v>946</v>
      </c>
      <c r="U67" s="169" t="s">
        <v>946</v>
      </c>
      <c r="V67" s="121" t="s">
        <v>954</v>
      </c>
      <c r="W67" s="121" t="s">
        <v>789</v>
      </c>
      <c r="X67" s="170">
        <f>$E$67</f>
        <v>85000</v>
      </c>
      <c r="Y67" s="171">
        <f>$G$67</f>
        <v>1</v>
      </c>
      <c r="Z67" s="172">
        <f t="shared" si="3"/>
        <v>85000</v>
      </c>
      <c r="AA67" s="170">
        <f>$E$67</f>
        <v>85000</v>
      </c>
      <c r="AB67" s="171">
        <f t="shared" si="4"/>
        <v>0</v>
      </c>
      <c r="AC67" s="172">
        <f t="shared" si="5"/>
        <v>0</v>
      </c>
      <c r="AD67" s="170">
        <f t="shared" si="6"/>
        <v>85000</v>
      </c>
      <c r="AE67" s="171">
        <f t="shared" si="7"/>
        <v>0</v>
      </c>
      <c r="AF67" s="172">
        <f t="shared" si="8"/>
        <v>0</v>
      </c>
      <c r="AG67" s="67"/>
    </row>
    <row r="68" spans="1:33">
      <c r="A68" s="134"/>
      <c r="B68" s="153">
        <v>4</v>
      </c>
      <c r="C68" s="163" t="s">
        <v>955</v>
      </c>
      <c r="D68" s="121" t="s">
        <v>956</v>
      </c>
      <c r="E68" s="164">
        <f>$D$33</f>
        <v>24</v>
      </c>
      <c r="F68" s="121"/>
      <c r="G68" s="166">
        <v>4500</v>
      </c>
      <c r="H68" s="153"/>
      <c r="I68" s="167">
        <f t="shared" si="1"/>
        <v>108000</v>
      </c>
      <c r="J68" s="164">
        <f>$D$33</f>
        <v>24</v>
      </c>
      <c r="K68" s="166">
        <v>4500</v>
      </c>
      <c r="L68" s="153"/>
      <c r="M68" s="167">
        <f>J68*K68</f>
        <v>108000</v>
      </c>
      <c r="N68" s="164"/>
      <c r="O68" s="166"/>
      <c r="P68" s="153"/>
      <c r="Q68" s="168">
        <f>N68*O68</f>
        <v>0</v>
      </c>
      <c r="R68" s="111"/>
      <c r="S68" s="712"/>
      <c r="T68" s="169" t="s">
        <v>946</v>
      </c>
      <c r="U68" s="169" t="s">
        <v>946</v>
      </c>
      <c r="V68" s="121" t="s">
        <v>957</v>
      </c>
      <c r="W68" s="121" t="s">
        <v>789</v>
      </c>
      <c r="X68" s="170">
        <f>E68</f>
        <v>24</v>
      </c>
      <c r="Y68" s="171">
        <f>$G$68</f>
        <v>4500</v>
      </c>
      <c r="Z68" s="172">
        <f t="shared" si="3"/>
        <v>108000</v>
      </c>
      <c r="AA68" s="170">
        <f>E68</f>
        <v>24</v>
      </c>
      <c r="AB68" s="171">
        <f t="shared" si="4"/>
        <v>4500</v>
      </c>
      <c r="AC68" s="172">
        <f t="shared" si="5"/>
        <v>108000</v>
      </c>
      <c r="AD68" s="170">
        <f t="shared" si="6"/>
        <v>24</v>
      </c>
      <c r="AE68" s="171">
        <f t="shared" si="7"/>
        <v>0</v>
      </c>
      <c r="AF68" s="172">
        <f t="shared" si="8"/>
        <v>0</v>
      </c>
      <c r="AG68" s="67"/>
    </row>
    <row r="69" spans="1:33">
      <c r="A69" s="134"/>
      <c r="B69" s="153">
        <v>5</v>
      </c>
      <c r="C69" s="163" t="s">
        <v>958</v>
      </c>
      <c r="D69" s="121" t="s">
        <v>949</v>
      </c>
      <c r="E69" s="164">
        <f>'Assumptions TRC_AUN'!$I$146</f>
        <v>4400</v>
      </c>
      <c r="F69" s="165"/>
      <c r="G69" s="166">
        <v>12</v>
      </c>
      <c r="H69" s="153"/>
      <c r="I69" s="167">
        <f t="shared" si="1"/>
        <v>52800</v>
      </c>
      <c r="J69" s="165"/>
      <c r="K69" s="166">
        <v>10</v>
      </c>
      <c r="L69" s="153"/>
      <c r="M69" s="167">
        <f>E69*K69</f>
        <v>44000</v>
      </c>
      <c r="N69" s="165"/>
      <c r="O69" s="166">
        <v>2</v>
      </c>
      <c r="P69" s="153"/>
      <c r="Q69" s="168"/>
      <c r="R69" s="111"/>
      <c r="S69" s="712"/>
      <c r="T69" s="169" t="s">
        <v>946</v>
      </c>
      <c r="U69" s="169" t="s">
        <v>946</v>
      </c>
      <c r="V69" s="121" t="s">
        <v>950</v>
      </c>
      <c r="W69" s="121" t="s">
        <v>951</v>
      </c>
      <c r="X69" s="170">
        <f>'Assumptions TRC_AUN'!$I$147</f>
        <v>440</v>
      </c>
      <c r="Y69" s="171">
        <f>'Assumptions TRC_AUN'!$I$148*'Assumptions Other_AUN'!$G$69</f>
        <v>120</v>
      </c>
      <c r="Z69" s="172">
        <f t="shared" si="3"/>
        <v>52800</v>
      </c>
      <c r="AA69" s="170">
        <f>'Assumptions TRC_AUN'!$I$147</f>
        <v>440</v>
      </c>
      <c r="AB69" s="171">
        <f t="shared" si="4"/>
        <v>100</v>
      </c>
      <c r="AC69" s="172">
        <f t="shared" si="5"/>
        <v>44000</v>
      </c>
      <c r="AD69" s="170">
        <f t="shared" si="6"/>
        <v>440</v>
      </c>
      <c r="AE69" s="171">
        <f t="shared" si="7"/>
        <v>0</v>
      </c>
      <c r="AF69" s="172">
        <f t="shared" si="8"/>
        <v>0</v>
      </c>
      <c r="AG69" s="67"/>
    </row>
    <row r="70" spans="1:33">
      <c r="A70" s="134"/>
      <c r="B70" s="153">
        <v>6</v>
      </c>
      <c r="C70" s="174" t="s">
        <v>959</v>
      </c>
      <c r="D70" s="121"/>
      <c r="E70" s="175" t="s">
        <v>960</v>
      </c>
      <c r="F70" s="165"/>
      <c r="G70" s="176"/>
      <c r="H70" s="153"/>
      <c r="I70" s="167">
        <f>SUM($I$65:$I$69)*10%</f>
        <v>76460.824999999997</v>
      </c>
      <c r="J70" s="165"/>
      <c r="K70" s="176"/>
      <c r="L70" s="153"/>
      <c r="M70" s="167">
        <f>SUM($M$65:$M$69)*10%</f>
        <v>61811.212500000001</v>
      </c>
      <c r="N70" s="165"/>
      <c r="O70" s="176"/>
      <c r="P70" s="153"/>
      <c r="Q70" s="168">
        <v>33945</v>
      </c>
      <c r="R70" s="111"/>
      <c r="S70" s="712"/>
      <c r="T70" s="169" t="s">
        <v>946</v>
      </c>
      <c r="U70" s="169" t="s">
        <v>946</v>
      </c>
      <c r="V70" s="121" t="s">
        <v>875</v>
      </c>
      <c r="W70" s="121" t="s">
        <v>961</v>
      </c>
      <c r="X70" s="170">
        <f>'Assumptions HR_AUN'!$D$4*3</f>
        <v>88211.039066799218</v>
      </c>
      <c r="Y70" s="171">
        <f t="shared" ref="Y70:Y71" si="9">I70/X70</f>
        <v>0.86679429024862542</v>
      </c>
      <c r="Z70" s="172">
        <f t="shared" si="3"/>
        <v>76460.824999999997</v>
      </c>
      <c r="AA70" s="170">
        <f>'Assumptions HR_AUN'!$D$4*3</f>
        <v>88211.039066799218</v>
      </c>
      <c r="AB70" s="171">
        <f t="shared" si="4"/>
        <v>0.7007196962411073</v>
      </c>
      <c r="AC70" s="172">
        <f t="shared" si="5"/>
        <v>61811.212500000001</v>
      </c>
      <c r="AD70" s="170">
        <f t="shared" si="6"/>
        <v>88211.039066799218</v>
      </c>
      <c r="AE70" s="171">
        <f t="shared" si="7"/>
        <v>0.38481578223213769</v>
      </c>
      <c r="AF70" s="172">
        <f t="shared" si="8"/>
        <v>33945</v>
      </c>
      <c r="AG70" s="67"/>
    </row>
    <row r="71" spans="1:33">
      <c r="A71" s="134"/>
      <c r="B71" s="153">
        <v>7</v>
      </c>
      <c r="C71" s="174" t="s">
        <v>962</v>
      </c>
      <c r="D71" s="121"/>
      <c r="E71" s="175" t="s">
        <v>963</v>
      </c>
      <c r="F71" s="165"/>
      <c r="G71" s="176"/>
      <c r="H71" s="153"/>
      <c r="I71" s="167">
        <f>SUM($I$65:$I$69)*15%</f>
        <v>114691.2375</v>
      </c>
      <c r="J71" s="165"/>
      <c r="K71" s="176"/>
      <c r="L71" s="153"/>
      <c r="M71" s="167">
        <f>SUM($M$65:$M$69)*15%</f>
        <v>92716.818749999991</v>
      </c>
      <c r="N71" s="165"/>
      <c r="O71" s="176"/>
      <c r="P71" s="153"/>
      <c r="Q71" s="168">
        <v>8487</v>
      </c>
      <c r="R71" s="111"/>
      <c r="S71" s="712"/>
      <c r="T71" s="169" t="s">
        <v>946</v>
      </c>
      <c r="U71" s="169" t="s">
        <v>946</v>
      </c>
      <c r="V71" s="121" t="s">
        <v>881</v>
      </c>
      <c r="W71" s="121" t="s">
        <v>964</v>
      </c>
      <c r="X71" s="170">
        <f>I71/4</f>
        <v>28672.809375000001</v>
      </c>
      <c r="Y71" s="171">
        <f t="shared" si="9"/>
        <v>4</v>
      </c>
      <c r="Z71" s="172">
        <f t="shared" si="3"/>
        <v>114691.2375</v>
      </c>
      <c r="AA71" s="170">
        <f>M71/4</f>
        <v>23179.204687499998</v>
      </c>
      <c r="AB71" s="171">
        <f t="shared" si="4"/>
        <v>4</v>
      </c>
      <c r="AC71" s="172">
        <f t="shared" si="5"/>
        <v>92716.818749999991</v>
      </c>
      <c r="AD71" s="170">
        <f>Q71/4</f>
        <v>2121.75</v>
      </c>
      <c r="AE71" s="171">
        <f t="shared" si="7"/>
        <v>4</v>
      </c>
      <c r="AF71" s="172">
        <f t="shared" si="8"/>
        <v>8487</v>
      </c>
      <c r="AG71" s="67"/>
    </row>
    <row r="72" spans="1:33">
      <c r="A72" s="134"/>
      <c r="B72" s="113"/>
      <c r="C72" s="177"/>
      <c r="D72" s="113"/>
      <c r="E72" s="113"/>
      <c r="F72" s="113"/>
      <c r="G72" s="113"/>
      <c r="H72" s="113"/>
      <c r="I72" s="178">
        <f>SUM(I65:I71)</f>
        <v>955760.3125</v>
      </c>
      <c r="J72" s="113"/>
      <c r="K72" s="113"/>
      <c r="L72" s="113"/>
      <c r="M72" s="178">
        <f>SUM(M65:M71)</f>
        <v>772640.15625</v>
      </c>
      <c r="N72" s="158"/>
      <c r="O72" s="158"/>
      <c r="P72" s="158"/>
      <c r="Q72" s="179">
        <f>SUM(Q65:Q71)</f>
        <v>212160</v>
      </c>
      <c r="R72" s="111"/>
      <c r="S72" s="712"/>
      <c r="T72" s="111"/>
      <c r="U72" s="111"/>
      <c r="V72" s="111"/>
      <c r="W72" s="111"/>
      <c r="X72" s="132"/>
      <c r="Y72" s="133"/>
      <c r="Z72" s="132"/>
      <c r="AA72" s="132"/>
      <c r="AB72" s="133"/>
      <c r="AC72" s="132"/>
      <c r="AD72" s="132"/>
      <c r="AE72" s="133"/>
      <c r="AF72" s="132"/>
      <c r="AG72" s="67"/>
    </row>
    <row r="73" spans="1:33">
      <c r="A73" s="9"/>
      <c r="B73" s="111"/>
      <c r="C73" s="111"/>
      <c r="D73" s="111"/>
      <c r="E73" s="111"/>
      <c r="F73" s="111"/>
      <c r="G73" s="111"/>
      <c r="H73" s="111"/>
      <c r="I73" s="132"/>
      <c r="J73" s="111"/>
      <c r="K73" s="111"/>
      <c r="L73" s="111"/>
      <c r="M73" s="132"/>
      <c r="N73" s="111"/>
      <c r="O73" s="111"/>
      <c r="P73" s="111"/>
      <c r="Q73" s="132"/>
      <c r="R73" s="111"/>
      <c r="S73" s="712"/>
      <c r="T73" s="111"/>
      <c r="U73" s="111"/>
      <c r="V73" s="111"/>
      <c r="W73" s="111"/>
      <c r="X73" s="132"/>
      <c r="Y73" s="133"/>
      <c r="Z73" s="132"/>
      <c r="AA73" s="132"/>
      <c r="AB73" s="133"/>
      <c r="AC73" s="132"/>
      <c r="AD73" s="132"/>
      <c r="AE73" s="133"/>
      <c r="AF73" s="132"/>
      <c r="AG73" s="67"/>
    </row>
    <row r="74" spans="1:33">
      <c r="A74" s="9"/>
      <c r="B74" s="111"/>
      <c r="C74" s="111"/>
      <c r="D74" s="111"/>
      <c r="E74" s="111"/>
      <c r="F74" s="111"/>
      <c r="G74" s="111"/>
      <c r="H74" s="111"/>
      <c r="I74" s="111"/>
      <c r="J74" s="111"/>
      <c r="K74" s="111"/>
      <c r="L74" s="111"/>
      <c r="M74" s="111"/>
      <c r="N74" s="111"/>
      <c r="O74" s="111"/>
      <c r="P74" s="111"/>
      <c r="Q74" s="111"/>
      <c r="R74" s="111"/>
      <c r="S74" s="712"/>
      <c r="T74" s="111"/>
      <c r="U74" s="111"/>
      <c r="V74" s="111"/>
      <c r="W74" s="111"/>
      <c r="X74" s="132"/>
      <c r="Y74" s="133"/>
      <c r="Z74" s="132"/>
      <c r="AA74" s="132"/>
      <c r="AB74" s="133"/>
      <c r="AC74" s="132"/>
      <c r="AD74" s="132"/>
      <c r="AE74" s="133"/>
      <c r="AF74" s="132"/>
      <c r="AG74" s="67"/>
    </row>
    <row r="75" spans="1:33">
      <c r="A75" s="9"/>
      <c r="B75" s="111"/>
      <c r="C75" s="111"/>
      <c r="D75" s="111"/>
      <c r="E75" s="111"/>
      <c r="F75" s="111"/>
      <c r="G75" s="111"/>
      <c r="H75" s="111"/>
      <c r="I75" s="111"/>
      <c r="J75" s="111"/>
      <c r="K75" s="111"/>
      <c r="L75" s="111"/>
      <c r="M75" s="111"/>
      <c r="N75" s="111"/>
      <c r="O75" s="111"/>
      <c r="P75" s="111"/>
      <c r="Q75" s="111"/>
      <c r="R75" s="111"/>
      <c r="S75" s="712"/>
      <c r="T75" s="111"/>
      <c r="U75" s="111"/>
      <c r="V75" s="111"/>
      <c r="W75" s="111"/>
      <c r="X75" s="132"/>
      <c r="Y75" s="133"/>
      <c r="Z75" s="132"/>
      <c r="AA75" s="132"/>
      <c r="AB75" s="133"/>
      <c r="AC75" s="132"/>
      <c r="AD75" s="132"/>
      <c r="AE75" s="133"/>
      <c r="AF75" s="132"/>
      <c r="AG75" s="67"/>
    </row>
    <row r="76" spans="1:33">
      <c r="A76" s="9"/>
      <c r="B76" s="111"/>
      <c r="C76" s="111"/>
      <c r="D76" s="111"/>
      <c r="E76" s="111"/>
      <c r="F76" s="111"/>
      <c r="G76" s="111"/>
      <c r="H76" s="111"/>
      <c r="I76" s="180"/>
      <c r="J76" s="180"/>
      <c r="K76" s="180"/>
      <c r="L76" s="111"/>
      <c r="M76" s="111"/>
      <c r="N76" s="111"/>
      <c r="O76" s="111"/>
      <c r="P76" s="111"/>
      <c r="Q76" s="111"/>
      <c r="R76" s="111"/>
      <c r="S76" s="712"/>
      <c r="T76" s="111"/>
      <c r="U76" s="111"/>
      <c r="V76" s="111"/>
      <c r="W76" s="111"/>
      <c r="X76" s="132"/>
      <c r="Y76" s="133"/>
      <c r="Z76" s="132"/>
      <c r="AA76" s="132"/>
      <c r="AB76" s="133"/>
      <c r="AC76" s="132"/>
      <c r="AD76" s="132"/>
      <c r="AE76" s="133"/>
      <c r="AF76" s="132"/>
      <c r="AG76" s="67"/>
    </row>
    <row r="77" spans="1:33">
      <c r="A77" s="9"/>
      <c r="B77" s="111"/>
      <c r="C77" s="111"/>
      <c r="D77" s="111"/>
      <c r="E77" s="111"/>
      <c r="F77" s="111"/>
      <c r="G77" s="111"/>
      <c r="H77" s="111"/>
      <c r="I77" s="111"/>
      <c r="J77" s="111"/>
      <c r="K77" s="111"/>
      <c r="L77" s="111"/>
      <c r="M77" s="111"/>
      <c r="N77" s="111"/>
      <c r="O77" s="111"/>
      <c r="P77" s="111"/>
      <c r="Q77" s="111"/>
      <c r="R77" s="111"/>
      <c r="S77" s="712"/>
      <c r="T77" s="111"/>
      <c r="U77" s="111"/>
      <c r="V77" s="111"/>
      <c r="W77" s="111"/>
      <c r="X77" s="132"/>
      <c r="Y77" s="133"/>
      <c r="Z77" s="132"/>
      <c r="AA77" s="132"/>
      <c r="AB77" s="133"/>
      <c r="AC77" s="132"/>
      <c r="AD77" s="132"/>
      <c r="AE77" s="133"/>
      <c r="AF77" s="132"/>
      <c r="AG77" s="67"/>
    </row>
    <row r="78" spans="1:33">
      <c r="A78" s="725">
        <v>2</v>
      </c>
      <c r="B78" s="897" t="e" vm="1">
        <f>'[2]AUN Budget'!$E$383</f>
        <v>#VALUE!</v>
      </c>
      <c r="C78" s="898"/>
      <c r="D78" s="898"/>
      <c r="E78" s="898"/>
      <c r="F78" s="898"/>
      <c r="G78" s="898"/>
      <c r="H78" s="899"/>
      <c r="I78" s="181">
        <v>1500</v>
      </c>
      <c r="J78" s="181">
        <v>1500</v>
      </c>
      <c r="K78" s="181">
        <v>1500</v>
      </c>
      <c r="L78" s="111"/>
      <c r="M78" s="111"/>
      <c r="N78" s="111"/>
      <c r="O78" s="111"/>
      <c r="P78" s="111"/>
      <c r="Q78" s="111"/>
      <c r="R78" s="111"/>
      <c r="S78" s="712"/>
      <c r="T78" s="111"/>
      <c r="U78" s="111"/>
      <c r="V78" s="111"/>
      <c r="W78" s="111"/>
      <c r="X78" s="132"/>
      <c r="Y78" s="133"/>
      <c r="Z78" s="132"/>
      <c r="AA78" s="132"/>
      <c r="AB78" s="133"/>
      <c r="AC78" s="132"/>
      <c r="AD78" s="132"/>
      <c r="AE78" s="133"/>
      <c r="AF78" s="132"/>
      <c r="AG78" s="67"/>
    </row>
    <row r="79" spans="1:33">
      <c r="A79" s="157" t="s">
        <v>965</v>
      </c>
      <c r="B79" s="113" t="s">
        <v>755</v>
      </c>
      <c r="C79" s="113" t="s">
        <v>966</v>
      </c>
      <c r="D79" s="113" t="s">
        <v>967</v>
      </c>
      <c r="E79" s="113" t="s">
        <v>968</v>
      </c>
      <c r="F79" s="113" t="s">
        <v>969</v>
      </c>
      <c r="G79" s="113" t="s">
        <v>970</v>
      </c>
      <c r="H79" s="113" t="s">
        <v>971</v>
      </c>
      <c r="I79" s="113" t="s">
        <v>972</v>
      </c>
      <c r="J79" s="113" t="s">
        <v>973</v>
      </c>
      <c r="K79" s="113" t="s">
        <v>974</v>
      </c>
      <c r="L79" s="111"/>
      <c r="M79" s="111"/>
      <c r="N79" s="111"/>
      <c r="O79" s="182"/>
      <c r="P79" s="182"/>
      <c r="Q79" s="182"/>
      <c r="R79" s="182"/>
      <c r="S79" s="727"/>
      <c r="T79" s="159" t="s">
        <v>387</v>
      </c>
      <c r="U79" s="159" t="s">
        <v>388</v>
      </c>
      <c r="V79" s="159" t="s">
        <v>934</v>
      </c>
      <c r="W79" s="160" t="s">
        <v>935</v>
      </c>
      <c r="X79" s="161" t="s">
        <v>936</v>
      </c>
      <c r="Y79" s="162" t="s">
        <v>937</v>
      </c>
      <c r="Z79" s="161" t="s">
        <v>938</v>
      </c>
      <c r="AA79" s="161" t="s">
        <v>939</v>
      </c>
      <c r="AB79" s="162" t="s">
        <v>940</v>
      </c>
      <c r="AC79" s="161" t="s">
        <v>941</v>
      </c>
      <c r="AD79" s="161" t="s">
        <v>942</v>
      </c>
      <c r="AE79" s="162" t="s">
        <v>943</v>
      </c>
      <c r="AF79" s="161" t="s">
        <v>944</v>
      </c>
      <c r="AG79" s="67"/>
    </row>
    <row r="80" spans="1:33">
      <c r="A80" s="134"/>
      <c r="B80" s="153">
        <v>1</v>
      </c>
      <c r="C80" s="121" t="s">
        <v>975</v>
      </c>
      <c r="D80" s="121" t="s">
        <v>976</v>
      </c>
      <c r="E80" s="183">
        <v>1</v>
      </c>
      <c r="F80" s="121">
        <v>1</v>
      </c>
      <c r="G80" s="164">
        <f>'Assumptions HR_AUN'!$F$8</f>
        <v>80.053187003968247</v>
      </c>
      <c r="H80" s="164">
        <f t="shared" ref="H80:H86" si="10">E80*F80*G80</f>
        <v>80.053187003968247</v>
      </c>
      <c r="I80" s="164">
        <f t="shared" ref="I80:K80" si="11">$H80*I$78</f>
        <v>120079.78050595237</v>
      </c>
      <c r="J80" s="164">
        <f t="shared" si="11"/>
        <v>120079.78050595237</v>
      </c>
      <c r="K80" s="164">
        <f t="shared" si="11"/>
        <v>120079.78050595237</v>
      </c>
      <c r="L80" s="111"/>
      <c r="M80" s="111"/>
      <c r="N80" s="111"/>
      <c r="O80" s="111"/>
      <c r="P80" s="111"/>
      <c r="Q80" s="111"/>
      <c r="R80" s="111"/>
      <c r="S80" s="712"/>
      <c r="T80" s="169" t="s">
        <v>946</v>
      </c>
      <c r="U80" s="169" t="s">
        <v>946</v>
      </c>
      <c r="V80" s="121" t="s">
        <v>977</v>
      </c>
      <c r="W80" s="121" t="s">
        <v>961</v>
      </c>
      <c r="X80" s="170">
        <f t="shared" ref="X80:X86" si="12">G80*$D$35*$D$36</f>
        <v>40346.806249999994</v>
      </c>
      <c r="Y80" s="171">
        <f t="shared" ref="Y80:Y96" si="13">I80/X80</f>
        <v>2.9761904761904763</v>
      </c>
      <c r="Z80" s="172">
        <f t="shared" ref="Z80:Z96" si="14">X80*Y80</f>
        <v>120079.78050595237</v>
      </c>
      <c r="AA80" s="170">
        <f t="shared" ref="AA80:AA96" si="15">X80</f>
        <v>40346.806249999994</v>
      </c>
      <c r="AB80" s="171">
        <f t="shared" ref="AB80:AB96" si="16">J80/AA80</f>
        <v>2.9761904761904763</v>
      </c>
      <c r="AC80" s="172">
        <f t="shared" ref="AC80:AC96" si="17">AA80*AB80</f>
        <v>120079.78050595237</v>
      </c>
      <c r="AD80" s="170">
        <f t="shared" ref="AD80:AD96" si="18">AA80</f>
        <v>40346.806249999994</v>
      </c>
      <c r="AE80" s="171">
        <f t="shared" ref="AE80:AE96" si="19">K80/AD80</f>
        <v>2.9761904761904763</v>
      </c>
      <c r="AF80" s="172">
        <f t="shared" ref="AF80:AF96" si="20">AD80*AE80</f>
        <v>120079.78050595237</v>
      </c>
      <c r="AG80" s="67"/>
    </row>
    <row r="81" spans="1:33">
      <c r="A81" s="134"/>
      <c r="B81" s="153">
        <v>2</v>
      </c>
      <c r="C81" s="121" t="s">
        <v>978</v>
      </c>
      <c r="D81" s="121" t="s">
        <v>979</v>
      </c>
      <c r="E81" s="183">
        <v>0.5</v>
      </c>
      <c r="F81" s="121">
        <v>1</v>
      </c>
      <c r="G81" s="164">
        <f>'Assumptions HR_AUN'!$F$8</f>
        <v>80.053187003968247</v>
      </c>
      <c r="H81" s="164">
        <f t="shared" si="10"/>
        <v>40.026593501984124</v>
      </c>
      <c r="I81" s="164">
        <f t="shared" ref="I81:K81" si="21">$H81*I$78</f>
        <v>60039.890252976184</v>
      </c>
      <c r="J81" s="164">
        <f t="shared" si="21"/>
        <v>60039.890252976184</v>
      </c>
      <c r="K81" s="164">
        <f t="shared" si="21"/>
        <v>60039.890252976184</v>
      </c>
      <c r="L81" s="111"/>
      <c r="M81" s="111"/>
      <c r="N81" s="111"/>
      <c r="O81" s="111"/>
      <c r="P81" s="111"/>
      <c r="Q81" s="111"/>
      <c r="R81" s="111"/>
      <c r="S81" s="712"/>
      <c r="T81" s="169" t="s">
        <v>946</v>
      </c>
      <c r="U81" s="169" t="s">
        <v>946</v>
      </c>
      <c r="V81" s="121" t="s">
        <v>977</v>
      </c>
      <c r="W81" s="121" t="s">
        <v>961</v>
      </c>
      <c r="X81" s="170">
        <f t="shared" si="12"/>
        <v>40346.806249999994</v>
      </c>
      <c r="Y81" s="171">
        <f t="shared" si="13"/>
        <v>1.4880952380952381</v>
      </c>
      <c r="Z81" s="172">
        <f t="shared" si="14"/>
        <v>60039.890252976184</v>
      </c>
      <c r="AA81" s="170">
        <f t="shared" si="15"/>
        <v>40346.806249999994</v>
      </c>
      <c r="AB81" s="171">
        <f t="shared" si="16"/>
        <v>1.4880952380952381</v>
      </c>
      <c r="AC81" s="172">
        <f t="shared" si="17"/>
        <v>60039.890252976184</v>
      </c>
      <c r="AD81" s="170">
        <f t="shared" si="18"/>
        <v>40346.806249999994</v>
      </c>
      <c r="AE81" s="171">
        <f t="shared" si="19"/>
        <v>1.4880952380952381</v>
      </c>
      <c r="AF81" s="172">
        <f t="shared" si="20"/>
        <v>60039.890252976184</v>
      </c>
      <c r="AG81" s="67"/>
    </row>
    <row r="82" spans="1:33">
      <c r="A82" s="134"/>
      <c r="B82" s="153">
        <v>3</v>
      </c>
      <c r="C82" s="121" t="s">
        <v>978</v>
      </c>
      <c r="D82" s="121" t="s">
        <v>980</v>
      </c>
      <c r="E82" s="183">
        <v>1</v>
      </c>
      <c r="F82" s="121">
        <v>1</v>
      </c>
      <c r="G82" s="164">
        <f>'Assumptions HR_AUN'!$F$8</f>
        <v>80.053187003968247</v>
      </c>
      <c r="H82" s="164">
        <f t="shared" si="10"/>
        <v>80.053187003968247</v>
      </c>
      <c r="I82" s="164">
        <f t="shared" ref="I82:K82" si="22">$H82*I$78</f>
        <v>120079.78050595237</v>
      </c>
      <c r="J82" s="164">
        <f t="shared" si="22"/>
        <v>120079.78050595237</v>
      </c>
      <c r="K82" s="164">
        <f t="shared" si="22"/>
        <v>120079.78050595237</v>
      </c>
      <c r="L82" s="111"/>
      <c r="M82" s="111"/>
      <c r="N82" s="111"/>
      <c r="O82" s="111"/>
      <c r="P82" s="111"/>
      <c r="Q82" s="111"/>
      <c r="R82" s="111"/>
      <c r="S82" s="712"/>
      <c r="T82" s="169" t="s">
        <v>946</v>
      </c>
      <c r="U82" s="169" t="s">
        <v>946</v>
      </c>
      <c r="V82" s="121" t="s">
        <v>977</v>
      </c>
      <c r="W82" s="121" t="s">
        <v>961</v>
      </c>
      <c r="X82" s="170">
        <f t="shared" si="12"/>
        <v>40346.806249999994</v>
      </c>
      <c r="Y82" s="171">
        <f t="shared" si="13"/>
        <v>2.9761904761904763</v>
      </c>
      <c r="Z82" s="172">
        <f t="shared" si="14"/>
        <v>120079.78050595237</v>
      </c>
      <c r="AA82" s="170">
        <f t="shared" si="15"/>
        <v>40346.806249999994</v>
      </c>
      <c r="AB82" s="171">
        <f t="shared" si="16"/>
        <v>2.9761904761904763</v>
      </c>
      <c r="AC82" s="172">
        <f t="shared" si="17"/>
        <v>120079.78050595237</v>
      </c>
      <c r="AD82" s="170">
        <f t="shared" si="18"/>
        <v>40346.806249999994</v>
      </c>
      <c r="AE82" s="171">
        <f t="shared" si="19"/>
        <v>2.9761904761904763</v>
      </c>
      <c r="AF82" s="172">
        <f t="shared" si="20"/>
        <v>120079.78050595237</v>
      </c>
      <c r="AG82" s="67"/>
    </row>
    <row r="83" spans="1:33">
      <c r="A83" s="134"/>
      <c r="B83" s="153">
        <v>4</v>
      </c>
      <c r="C83" s="121" t="s">
        <v>978</v>
      </c>
      <c r="D83" s="121" t="s">
        <v>981</v>
      </c>
      <c r="E83" s="183">
        <v>0.5</v>
      </c>
      <c r="F83" s="121">
        <v>1</v>
      </c>
      <c r="G83" s="164">
        <f>'Assumptions HR_AUN'!$F$8</f>
        <v>80.053187003968247</v>
      </c>
      <c r="H83" s="164">
        <f t="shared" si="10"/>
        <v>40.026593501984124</v>
      </c>
      <c r="I83" s="164">
        <f t="shared" ref="I83:K83" si="23">$H83*I$78</f>
        <v>60039.890252976184</v>
      </c>
      <c r="J83" s="164">
        <f t="shared" si="23"/>
        <v>60039.890252976184</v>
      </c>
      <c r="K83" s="164">
        <f t="shared" si="23"/>
        <v>60039.890252976184</v>
      </c>
      <c r="L83" s="111"/>
      <c r="M83" s="111"/>
      <c r="N83" s="111"/>
      <c r="O83" s="111"/>
      <c r="P83" s="111"/>
      <c r="Q83" s="111"/>
      <c r="R83" s="111"/>
      <c r="S83" s="712"/>
      <c r="T83" s="169" t="s">
        <v>946</v>
      </c>
      <c r="U83" s="169" t="s">
        <v>946</v>
      </c>
      <c r="V83" s="121" t="s">
        <v>977</v>
      </c>
      <c r="W83" s="121" t="s">
        <v>961</v>
      </c>
      <c r="X83" s="170">
        <f t="shared" si="12"/>
        <v>40346.806249999994</v>
      </c>
      <c r="Y83" s="171">
        <f t="shared" si="13"/>
        <v>1.4880952380952381</v>
      </c>
      <c r="Z83" s="172">
        <f t="shared" si="14"/>
        <v>60039.890252976184</v>
      </c>
      <c r="AA83" s="170">
        <f t="shared" si="15"/>
        <v>40346.806249999994</v>
      </c>
      <c r="AB83" s="171">
        <f t="shared" si="16"/>
        <v>1.4880952380952381</v>
      </c>
      <c r="AC83" s="172">
        <f t="shared" si="17"/>
        <v>60039.890252976184</v>
      </c>
      <c r="AD83" s="170">
        <f t="shared" si="18"/>
        <v>40346.806249999994</v>
      </c>
      <c r="AE83" s="171">
        <f t="shared" si="19"/>
        <v>1.4880952380952381</v>
      </c>
      <c r="AF83" s="172">
        <f t="shared" si="20"/>
        <v>60039.890252976184</v>
      </c>
      <c r="AG83" s="67"/>
    </row>
    <row r="84" spans="1:33">
      <c r="A84" s="134"/>
      <c r="B84" s="153">
        <v>5</v>
      </c>
      <c r="C84" s="121" t="s">
        <v>978</v>
      </c>
      <c r="D84" s="121" t="s">
        <v>982</v>
      </c>
      <c r="E84" s="183">
        <v>0.5</v>
      </c>
      <c r="F84" s="121">
        <v>1</v>
      </c>
      <c r="G84" s="164">
        <f>'Assumptions HR_AUN'!$F$8</f>
        <v>80.053187003968247</v>
      </c>
      <c r="H84" s="164">
        <f t="shared" si="10"/>
        <v>40.026593501984124</v>
      </c>
      <c r="I84" s="164">
        <f t="shared" ref="I84:K84" si="24">$H84*I$78</f>
        <v>60039.890252976184</v>
      </c>
      <c r="J84" s="164">
        <f t="shared" si="24"/>
        <v>60039.890252976184</v>
      </c>
      <c r="K84" s="164">
        <f t="shared" si="24"/>
        <v>60039.890252976184</v>
      </c>
      <c r="L84" s="111"/>
      <c r="M84" s="111"/>
      <c r="N84" s="111"/>
      <c r="O84" s="111"/>
      <c r="P84" s="111"/>
      <c r="Q84" s="111"/>
      <c r="R84" s="111"/>
      <c r="S84" s="712"/>
      <c r="T84" s="169" t="s">
        <v>946</v>
      </c>
      <c r="U84" s="169" t="s">
        <v>946</v>
      </c>
      <c r="V84" s="121" t="s">
        <v>977</v>
      </c>
      <c r="W84" s="121" t="s">
        <v>961</v>
      </c>
      <c r="X84" s="170">
        <f t="shared" si="12"/>
        <v>40346.806249999994</v>
      </c>
      <c r="Y84" s="171">
        <f t="shared" si="13"/>
        <v>1.4880952380952381</v>
      </c>
      <c r="Z84" s="172">
        <f t="shared" si="14"/>
        <v>60039.890252976184</v>
      </c>
      <c r="AA84" s="170">
        <f t="shared" si="15"/>
        <v>40346.806249999994</v>
      </c>
      <c r="AB84" s="171">
        <f t="shared" si="16"/>
        <v>1.4880952380952381</v>
      </c>
      <c r="AC84" s="172">
        <f t="shared" si="17"/>
        <v>60039.890252976184</v>
      </c>
      <c r="AD84" s="170">
        <f t="shared" si="18"/>
        <v>40346.806249999994</v>
      </c>
      <c r="AE84" s="171">
        <f t="shared" si="19"/>
        <v>1.4880952380952381</v>
      </c>
      <c r="AF84" s="172">
        <f t="shared" si="20"/>
        <v>60039.890252976184</v>
      </c>
      <c r="AG84" s="67"/>
    </row>
    <row r="85" spans="1:33">
      <c r="A85" s="134"/>
      <c r="B85" s="153">
        <v>6</v>
      </c>
      <c r="C85" s="121" t="s">
        <v>978</v>
      </c>
      <c r="D85" s="121" t="s">
        <v>983</v>
      </c>
      <c r="E85" s="183">
        <v>1</v>
      </c>
      <c r="F85" s="121">
        <v>1</v>
      </c>
      <c r="G85" s="164">
        <f>'Assumptions HR_AUN'!$F$8</f>
        <v>80.053187003968247</v>
      </c>
      <c r="H85" s="164">
        <f t="shared" si="10"/>
        <v>80.053187003968247</v>
      </c>
      <c r="I85" s="164">
        <f t="shared" ref="I85:K85" si="25">$H85*I$78</f>
        <v>120079.78050595237</v>
      </c>
      <c r="J85" s="164">
        <f t="shared" si="25"/>
        <v>120079.78050595237</v>
      </c>
      <c r="K85" s="164">
        <f t="shared" si="25"/>
        <v>120079.78050595237</v>
      </c>
      <c r="L85" s="111"/>
      <c r="M85" s="111"/>
      <c r="N85" s="111"/>
      <c r="O85" s="111"/>
      <c r="P85" s="111"/>
      <c r="Q85" s="111"/>
      <c r="R85" s="111"/>
      <c r="S85" s="712"/>
      <c r="T85" s="169" t="s">
        <v>946</v>
      </c>
      <c r="U85" s="169" t="s">
        <v>946</v>
      </c>
      <c r="V85" s="121" t="s">
        <v>977</v>
      </c>
      <c r="W85" s="121" t="s">
        <v>961</v>
      </c>
      <c r="X85" s="170">
        <f t="shared" si="12"/>
        <v>40346.806249999994</v>
      </c>
      <c r="Y85" s="171">
        <f t="shared" si="13"/>
        <v>2.9761904761904763</v>
      </c>
      <c r="Z85" s="172">
        <f t="shared" si="14"/>
        <v>120079.78050595237</v>
      </c>
      <c r="AA85" s="170">
        <f t="shared" si="15"/>
        <v>40346.806249999994</v>
      </c>
      <c r="AB85" s="171">
        <f t="shared" si="16"/>
        <v>2.9761904761904763</v>
      </c>
      <c r="AC85" s="172">
        <f t="shared" si="17"/>
        <v>120079.78050595237</v>
      </c>
      <c r="AD85" s="170">
        <f t="shared" si="18"/>
        <v>40346.806249999994</v>
      </c>
      <c r="AE85" s="171">
        <f t="shared" si="19"/>
        <v>2.9761904761904763</v>
      </c>
      <c r="AF85" s="172">
        <f t="shared" si="20"/>
        <v>120079.78050595237</v>
      </c>
      <c r="AG85" s="67"/>
    </row>
    <row r="86" spans="1:33">
      <c r="A86" s="134"/>
      <c r="B86" s="153">
        <v>7</v>
      </c>
      <c r="C86" s="121" t="s">
        <v>978</v>
      </c>
      <c r="D86" s="121" t="s">
        <v>984</v>
      </c>
      <c r="E86" s="183">
        <v>1</v>
      </c>
      <c r="F86" s="121">
        <v>1</v>
      </c>
      <c r="G86" s="164">
        <f>'Assumptions HR_AUN'!$F$8</f>
        <v>80.053187003968247</v>
      </c>
      <c r="H86" s="164">
        <f t="shared" si="10"/>
        <v>80.053187003968247</v>
      </c>
      <c r="I86" s="164">
        <f t="shared" ref="I86:K86" si="26">$H86*I$78</f>
        <v>120079.78050595237</v>
      </c>
      <c r="J86" s="164">
        <f t="shared" si="26"/>
        <v>120079.78050595237</v>
      </c>
      <c r="K86" s="164">
        <f t="shared" si="26"/>
        <v>120079.78050595237</v>
      </c>
      <c r="L86" s="111"/>
      <c r="M86" s="111"/>
      <c r="N86" s="111"/>
      <c r="O86" s="111"/>
      <c r="P86" s="111"/>
      <c r="Q86" s="111"/>
      <c r="R86" s="111"/>
      <c r="S86" s="712"/>
      <c r="T86" s="169" t="s">
        <v>946</v>
      </c>
      <c r="U86" s="169" t="s">
        <v>946</v>
      </c>
      <c r="V86" s="121" t="s">
        <v>977</v>
      </c>
      <c r="W86" s="121" t="s">
        <v>961</v>
      </c>
      <c r="X86" s="170">
        <f t="shared" si="12"/>
        <v>40346.806249999994</v>
      </c>
      <c r="Y86" s="171">
        <f t="shared" si="13"/>
        <v>2.9761904761904763</v>
      </c>
      <c r="Z86" s="172">
        <f t="shared" si="14"/>
        <v>120079.78050595237</v>
      </c>
      <c r="AA86" s="170">
        <f t="shared" si="15"/>
        <v>40346.806249999994</v>
      </c>
      <c r="AB86" s="171">
        <f t="shared" si="16"/>
        <v>2.9761904761904763</v>
      </c>
      <c r="AC86" s="172">
        <f t="shared" si="17"/>
        <v>120079.78050595237</v>
      </c>
      <c r="AD86" s="170">
        <f t="shared" si="18"/>
        <v>40346.806249999994</v>
      </c>
      <c r="AE86" s="171">
        <f t="shared" si="19"/>
        <v>2.9761904761904763</v>
      </c>
      <c r="AF86" s="172">
        <f t="shared" si="20"/>
        <v>120079.78050595237</v>
      </c>
      <c r="AG86" s="67"/>
    </row>
    <row r="87" spans="1:33">
      <c r="A87" s="134"/>
      <c r="B87" s="153">
        <v>8</v>
      </c>
      <c r="C87" s="121" t="s">
        <v>985</v>
      </c>
      <c r="D87" s="121" t="s">
        <v>986</v>
      </c>
      <c r="E87" s="184"/>
      <c r="F87" s="174">
        <v>0.3</v>
      </c>
      <c r="G87" s="164">
        <f>D31</f>
        <v>798</v>
      </c>
      <c r="H87" s="164">
        <f>F87*G87</f>
        <v>239.39999999999998</v>
      </c>
      <c r="I87" s="164">
        <f t="shared" ref="I87:K87" si="27">$H87*I$78</f>
        <v>359099.99999999994</v>
      </c>
      <c r="J87" s="164">
        <f t="shared" si="27"/>
        <v>359099.99999999994</v>
      </c>
      <c r="K87" s="164">
        <f t="shared" si="27"/>
        <v>359099.99999999994</v>
      </c>
      <c r="L87" s="111"/>
      <c r="M87" s="111"/>
      <c r="N87" s="111"/>
      <c r="O87" s="111"/>
      <c r="P87" s="111"/>
      <c r="Q87" s="111"/>
      <c r="R87" s="111"/>
      <c r="S87" s="712"/>
      <c r="T87" s="169" t="s">
        <v>946</v>
      </c>
      <c r="U87" s="169" t="s">
        <v>946</v>
      </c>
      <c r="V87" s="121" t="s">
        <v>957</v>
      </c>
      <c r="W87" s="121" t="s">
        <v>789</v>
      </c>
      <c r="X87" s="170">
        <f>G93</f>
        <v>60</v>
      </c>
      <c r="Y87" s="171">
        <f t="shared" si="13"/>
        <v>5984.9999999999991</v>
      </c>
      <c r="Z87" s="172">
        <f t="shared" si="14"/>
        <v>359099.99999999994</v>
      </c>
      <c r="AA87" s="170">
        <f t="shared" si="15"/>
        <v>60</v>
      </c>
      <c r="AB87" s="171">
        <f t="shared" si="16"/>
        <v>5984.9999999999991</v>
      </c>
      <c r="AC87" s="172">
        <f t="shared" si="17"/>
        <v>359099.99999999994</v>
      </c>
      <c r="AD87" s="170">
        <f t="shared" si="18"/>
        <v>60</v>
      </c>
      <c r="AE87" s="171">
        <f t="shared" si="19"/>
        <v>5984.9999999999991</v>
      </c>
      <c r="AF87" s="172">
        <f t="shared" si="20"/>
        <v>359099.99999999994</v>
      </c>
      <c r="AG87" s="67"/>
    </row>
    <row r="88" spans="1:33">
      <c r="A88" s="134"/>
      <c r="B88" s="153">
        <v>9</v>
      </c>
      <c r="C88" s="121" t="s">
        <v>987</v>
      </c>
      <c r="D88" s="121" t="s">
        <v>988</v>
      </c>
      <c r="E88" s="183"/>
      <c r="F88" s="121">
        <v>0.3</v>
      </c>
      <c r="G88" s="164">
        <f>D27</f>
        <v>300</v>
      </c>
      <c r="H88" s="164">
        <f>G88*F88</f>
        <v>90</v>
      </c>
      <c r="I88" s="164">
        <f t="shared" ref="I88:K88" si="28">$H88*I$78</f>
        <v>135000</v>
      </c>
      <c r="J88" s="164">
        <f t="shared" si="28"/>
        <v>135000</v>
      </c>
      <c r="K88" s="164">
        <f t="shared" si="28"/>
        <v>135000</v>
      </c>
      <c r="L88" s="111"/>
      <c r="M88" s="111"/>
      <c r="N88" s="111"/>
      <c r="O88" s="111"/>
      <c r="P88" s="111"/>
      <c r="Q88" s="111"/>
      <c r="R88" s="111"/>
      <c r="S88" s="712"/>
      <c r="T88" s="169" t="s">
        <v>946</v>
      </c>
      <c r="U88" s="169" t="s">
        <v>946</v>
      </c>
      <c r="V88" s="121" t="s">
        <v>989</v>
      </c>
      <c r="W88" s="121" t="s">
        <v>789</v>
      </c>
      <c r="X88" s="170">
        <f>G88</f>
        <v>300</v>
      </c>
      <c r="Y88" s="171">
        <f t="shared" si="13"/>
        <v>450</v>
      </c>
      <c r="Z88" s="172">
        <f t="shared" si="14"/>
        <v>135000</v>
      </c>
      <c r="AA88" s="170">
        <f t="shared" si="15"/>
        <v>300</v>
      </c>
      <c r="AB88" s="171">
        <f t="shared" si="16"/>
        <v>450</v>
      </c>
      <c r="AC88" s="172">
        <f t="shared" si="17"/>
        <v>135000</v>
      </c>
      <c r="AD88" s="170">
        <f t="shared" si="18"/>
        <v>300</v>
      </c>
      <c r="AE88" s="171">
        <f t="shared" si="19"/>
        <v>450</v>
      </c>
      <c r="AF88" s="172">
        <f t="shared" si="20"/>
        <v>135000</v>
      </c>
      <c r="AG88" s="67"/>
    </row>
    <row r="89" spans="1:33">
      <c r="A89" s="134"/>
      <c r="B89" s="153">
        <v>10</v>
      </c>
      <c r="C89" s="121" t="s">
        <v>978</v>
      </c>
      <c r="D89" s="121" t="s">
        <v>990</v>
      </c>
      <c r="E89" s="183">
        <v>1.2</v>
      </c>
      <c r="F89" s="121">
        <v>1</v>
      </c>
      <c r="G89" s="164">
        <f>'Assumptions HR_AUN'!$F$8</f>
        <v>80.053187003968247</v>
      </c>
      <c r="H89" s="164">
        <f>E89*F89*G89</f>
        <v>96.063824404761888</v>
      </c>
      <c r="I89" s="164">
        <f t="shared" ref="I89:K89" si="29">$H89*I$78</f>
        <v>144095.73660714284</v>
      </c>
      <c r="J89" s="164">
        <f t="shared" si="29"/>
        <v>144095.73660714284</v>
      </c>
      <c r="K89" s="164">
        <f t="shared" si="29"/>
        <v>144095.73660714284</v>
      </c>
      <c r="L89" s="111"/>
      <c r="M89" s="111"/>
      <c r="N89" s="111"/>
      <c r="O89" s="111"/>
      <c r="P89" s="111"/>
      <c r="Q89" s="111"/>
      <c r="R89" s="111"/>
      <c r="S89" s="712"/>
      <c r="T89" s="169" t="s">
        <v>946</v>
      </c>
      <c r="U89" s="169" t="s">
        <v>946</v>
      </c>
      <c r="V89" s="121" t="s">
        <v>991</v>
      </c>
      <c r="W89" s="121" t="s">
        <v>961</v>
      </c>
      <c r="X89" s="170">
        <f>'Assumptions HR_AUN'!$F$8*'Assumptions Other_AUN'!$D$35*'Assumptions Other_AUN'!$D$36</f>
        <v>40346.806249999994</v>
      </c>
      <c r="Y89" s="171">
        <f t="shared" si="13"/>
        <v>3.5714285714285716</v>
      </c>
      <c r="Z89" s="172">
        <f t="shared" si="14"/>
        <v>144095.73660714284</v>
      </c>
      <c r="AA89" s="170">
        <f t="shared" si="15"/>
        <v>40346.806249999994</v>
      </c>
      <c r="AB89" s="171">
        <f t="shared" si="16"/>
        <v>3.5714285714285716</v>
      </c>
      <c r="AC89" s="172">
        <f t="shared" si="17"/>
        <v>144095.73660714284</v>
      </c>
      <c r="AD89" s="170">
        <f t="shared" si="18"/>
        <v>40346.806249999994</v>
      </c>
      <c r="AE89" s="171">
        <f t="shared" si="19"/>
        <v>3.5714285714285716</v>
      </c>
      <c r="AF89" s="172">
        <f t="shared" si="20"/>
        <v>144095.73660714284</v>
      </c>
      <c r="AG89" s="67"/>
    </row>
    <row r="90" spans="1:33">
      <c r="A90" s="134"/>
      <c r="B90" s="153">
        <v>11</v>
      </c>
      <c r="C90" s="121" t="s">
        <v>992</v>
      </c>
      <c r="D90" s="121" t="s">
        <v>993</v>
      </c>
      <c r="E90" s="183"/>
      <c r="F90" s="121">
        <v>0.2</v>
      </c>
      <c r="G90" s="164">
        <f>$D$23</f>
        <v>1025</v>
      </c>
      <c r="H90" s="164">
        <f>G90*F90</f>
        <v>205</v>
      </c>
      <c r="I90" s="164">
        <f t="shared" ref="I90:K90" si="30">$H90*I$78</f>
        <v>307500</v>
      </c>
      <c r="J90" s="164">
        <f t="shared" si="30"/>
        <v>307500</v>
      </c>
      <c r="K90" s="164">
        <f t="shared" si="30"/>
        <v>307500</v>
      </c>
      <c r="L90" s="111"/>
      <c r="M90" s="111"/>
      <c r="N90" s="111"/>
      <c r="O90" s="111"/>
      <c r="P90" s="111"/>
      <c r="Q90" s="111"/>
      <c r="R90" s="111"/>
      <c r="S90" s="712"/>
      <c r="T90" s="169" t="s">
        <v>946</v>
      </c>
      <c r="U90" s="169" t="s">
        <v>946</v>
      </c>
      <c r="V90" s="121" t="s">
        <v>994</v>
      </c>
      <c r="W90" s="121" t="s">
        <v>789</v>
      </c>
      <c r="X90" s="170">
        <f>$G$90</f>
        <v>1025</v>
      </c>
      <c r="Y90" s="171">
        <f t="shared" si="13"/>
        <v>300</v>
      </c>
      <c r="Z90" s="172">
        <f t="shared" si="14"/>
        <v>307500</v>
      </c>
      <c r="AA90" s="170">
        <f t="shared" si="15"/>
        <v>1025</v>
      </c>
      <c r="AB90" s="171">
        <f t="shared" si="16"/>
        <v>300</v>
      </c>
      <c r="AC90" s="172">
        <f t="shared" si="17"/>
        <v>307500</v>
      </c>
      <c r="AD90" s="170">
        <f t="shared" si="18"/>
        <v>1025</v>
      </c>
      <c r="AE90" s="171">
        <f t="shared" si="19"/>
        <v>300</v>
      </c>
      <c r="AF90" s="172">
        <f t="shared" si="20"/>
        <v>307500</v>
      </c>
      <c r="AG90" s="67"/>
    </row>
    <row r="91" spans="1:33">
      <c r="A91" s="134"/>
      <c r="B91" s="153">
        <v>12</v>
      </c>
      <c r="C91" s="121" t="s">
        <v>992</v>
      </c>
      <c r="D91" s="121" t="s">
        <v>995</v>
      </c>
      <c r="E91" s="183">
        <v>0.3</v>
      </c>
      <c r="F91" s="121">
        <v>1</v>
      </c>
      <c r="G91" s="164">
        <f>'Assumptions HR_AUN'!$F$8</f>
        <v>80.053187003968247</v>
      </c>
      <c r="H91" s="164">
        <f t="shared" ref="H91:H92" si="31">E91*F91*G91</f>
        <v>24.015956101190472</v>
      </c>
      <c r="I91" s="164">
        <f t="shared" ref="I91:K91" si="32">$H91*I$78</f>
        <v>36023.93415178571</v>
      </c>
      <c r="J91" s="164">
        <f t="shared" si="32"/>
        <v>36023.93415178571</v>
      </c>
      <c r="K91" s="164">
        <f t="shared" si="32"/>
        <v>36023.93415178571</v>
      </c>
      <c r="L91" s="111"/>
      <c r="M91" s="111"/>
      <c r="N91" s="111"/>
      <c r="O91" s="111"/>
      <c r="P91" s="111"/>
      <c r="Q91" s="111"/>
      <c r="R91" s="111"/>
      <c r="S91" s="712"/>
      <c r="T91" s="169" t="s">
        <v>946</v>
      </c>
      <c r="U91" s="169" t="s">
        <v>946</v>
      </c>
      <c r="V91" s="121" t="s">
        <v>977</v>
      </c>
      <c r="W91" s="121" t="s">
        <v>961</v>
      </c>
      <c r="X91" s="170">
        <f t="shared" ref="X91:X92" si="33">G91*$D$35*$D$36</f>
        <v>40346.806249999994</v>
      </c>
      <c r="Y91" s="171">
        <f t="shared" si="13"/>
        <v>0.8928571428571429</v>
      </c>
      <c r="Z91" s="172">
        <f t="shared" si="14"/>
        <v>36023.93415178571</v>
      </c>
      <c r="AA91" s="170">
        <f t="shared" si="15"/>
        <v>40346.806249999994</v>
      </c>
      <c r="AB91" s="171">
        <f t="shared" si="16"/>
        <v>0.8928571428571429</v>
      </c>
      <c r="AC91" s="172">
        <f t="shared" si="17"/>
        <v>36023.93415178571</v>
      </c>
      <c r="AD91" s="170">
        <f t="shared" si="18"/>
        <v>40346.806249999994</v>
      </c>
      <c r="AE91" s="171">
        <f t="shared" si="19"/>
        <v>0.8928571428571429</v>
      </c>
      <c r="AF91" s="172">
        <f t="shared" si="20"/>
        <v>36023.93415178571</v>
      </c>
      <c r="AG91" s="67"/>
    </row>
    <row r="92" spans="1:33">
      <c r="A92" s="134"/>
      <c r="B92" s="153">
        <v>13</v>
      </c>
      <c r="C92" s="121" t="s">
        <v>992</v>
      </c>
      <c r="D92" s="121" t="s">
        <v>996</v>
      </c>
      <c r="E92" s="183">
        <v>0.3</v>
      </c>
      <c r="F92" s="121">
        <v>1</v>
      </c>
      <c r="G92" s="164">
        <f>'Assumptions HR_AUN'!$F$8</f>
        <v>80.053187003968247</v>
      </c>
      <c r="H92" s="164">
        <f t="shared" si="31"/>
        <v>24.015956101190472</v>
      </c>
      <c r="I92" s="164">
        <f t="shared" ref="I92:K92" si="34">$H92*I$78</f>
        <v>36023.93415178571</v>
      </c>
      <c r="J92" s="164">
        <f t="shared" si="34"/>
        <v>36023.93415178571</v>
      </c>
      <c r="K92" s="164">
        <f t="shared" si="34"/>
        <v>36023.93415178571</v>
      </c>
      <c r="L92" s="111"/>
      <c r="M92" s="111"/>
      <c r="N92" s="111"/>
      <c r="O92" s="111"/>
      <c r="P92" s="111"/>
      <c r="Q92" s="111"/>
      <c r="R92" s="111"/>
      <c r="S92" s="712"/>
      <c r="T92" s="169" t="s">
        <v>946</v>
      </c>
      <c r="U92" s="169" t="s">
        <v>946</v>
      </c>
      <c r="V92" s="121" t="s">
        <v>977</v>
      </c>
      <c r="W92" s="121" t="s">
        <v>961</v>
      </c>
      <c r="X92" s="170">
        <f t="shared" si="33"/>
        <v>40346.806249999994</v>
      </c>
      <c r="Y92" s="171">
        <f t="shared" si="13"/>
        <v>0.8928571428571429</v>
      </c>
      <c r="Z92" s="172">
        <f t="shared" si="14"/>
        <v>36023.93415178571</v>
      </c>
      <c r="AA92" s="170">
        <f t="shared" si="15"/>
        <v>40346.806249999994</v>
      </c>
      <c r="AB92" s="171">
        <f t="shared" si="16"/>
        <v>0.8928571428571429</v>
      </c>
      <c r="AC92" s="172">
        <f t="shared" si="17"/>
        <v>36023.93415178571</v>
      </c>
      <c r="AD92" s="170">
        <f t="shared" si="18"/>
        <v>40346.806249999994</v>
      </c>
      <c r="AE92" s="171">
        <f t="shared" si="19"/>
        <v>0.8928571428571429</v>
      </c>
      <c r="AF92" s="172">
        <f t="shared" si="20"/>
        <v>36023.93415178571</v>
      </c>
      <c r="AG92" s="67"/>
    </row>
    <row r="93" spans="1:33">
      <c r="A93" s="134"/>
      <c r="B93" s="153">
        <v>14</v>
      </c>
      <c r="C93" s="121" t="s">
        <v>997</v>
      </c>
      <c r="D93" s="121" t="s">
        <v>998</v>
      </c>
      <c r="E93" s="183"/>
      <c r="F93" s="121">
        <v>0.2</v>
      </c>
      <c r="G93" s="164">
        <f>'Assumptions Other_AUN'!$D$32</f>
        <v>60</v>
      </c>
      <c r="H93" s="164">
        <f>F93*G93</f>
        <v>12</v>
      </c>
      <c r="I93" s="164">
        <f t="shared" ref="I93:K93" si="35">$H93*I$78</f>
        <v>18000</v>
      </c>
      <c r="J93" s="164">
        <f t="shared" si="35"/>
        <v>18000</v>
      </c>
      <c r="K93" s="164">
        <f t="shared" si="35"/>
        <v>18000</v>
      </c>
      <c r="L93" s="111"/>
      <c r="M93" s="111"/>
      <c r="N93" s="111"/>
      <c r="O93" s="111"/>
      <c r="P93" s="111"/>
      <c r="Q93" s="111"/>
      <c r="R93" s="111"/>
      <c r="S93" s="712"/>
      <c r="T93" s="169" t="s">
        <v>946</v>
      </c>
      <c r="U93" s="169" t="s">
        <v>946</v>
      </c>
      <c r="V93" s="121" t="s">
        <v>957</v>
      </c>
      <c r="W93" s="121" t="s">
        <v>789</v>
      </c>
      <c r="X93" s="170">
        <f t="shared" ref="X93:X94" si="36">G93</f>
        <v>60</v>
      </c>
      <c r="Y93" s="171">
        <f t="shared" si="13"/>
        <v>300</v>
      </c>
      <c r="Z93" s="172">
        <f t="shared" si="14"/>
        <v>18000</v>
      </c>
      <c r="AA93" s="170">
        <f t="shared" si="15"/>
        <v>60</v>
      </c>
      <c r="AB93" s="171">
        <f t="shared" si="16"/>
        <v>300</v>
      </c>
      <c r="AC93" s="172">
        <f t="shared" si="17"/>
        <v>18000</v>
      </c>
      <c r="AD93" s="170">
        <f t="shared" si="18"/>
        <v>60</v>
      </c>
      <c r="AE93" s="171">
        <f t="shared" si="19"/>
        <v>300</v>
      </c>
      <c r="AF93" s="172">
        <f t="shared" si="20"/>
        <v>18000</v>
      </c>
      <c r="AG93" s="67"/>
    </row>
    <row r="94" spans="1:33">
      <c r="A94" s="134"/>
      <c r="B94" s="153">
        <v>15</v>
      </c>
      <c r="C94" s="121" t="s">
        <v>987</v>
      </c>
      <c r="D94" s="121" t="s">
        <v>999</v>
      </c>
      <c r="E94" s="183">
        <v>1</v>
      </c>
      <c r="F94" s="121">
        <v>1</v>
      </c>
      <c r="G94" s="164">
        <v>36</v>
      </c>
      <c r="H94" s="164">
        <f>E94*F94*G94</f>
        <v>36</v>
      </c>
      <c r="I94" s="164">
        <f t="shared" ref="I94:K94" si="37">$H94*I$78</f>
        <v>54000</v>
      </c>
      <c r="J94" s="164">
        <f t="shared" si="37"/>
        <v>54000</v>
      </c>
      <c r="K94" s="164">
        <f t="shared" si="37"/>
        <v>54000</v>
      </c>
      <c r="L94" s="111"/>
      <c r="M94" s="111"/>
      <c r="N94" s="111"/>
      <c r="O94" s="111"/>
      <c r="P94" s="111"/>
      <c r="Q94" s="111"/>
      <c r="R94" s="111"/>
      <c r="S94" s="712"/>
      <c r="T94" s="169" t="s">
        <v>946</v>
      </c>
      <c r="U94" s="169" t="s">
        <v>946</v>
      </c>
      <c r="V94" s="121" t="s">
        <v>1000</v>
      </c>
      <c r="W94" s="121" t="s">
        <v>789</v>
      </c>
      <c r="X94" s="170">
        <f t="shared" si="36"/>
        <v>36</v>
      </c>
      <c r="Y94" s="171">
        <f t="shared" si="13"/>
        <v>1500</v>
      </c>
      <c r="Z94" s="172">
        <f t="shared" si="14"/>
        <v>54000</v>
      </c>
      <c r="AA94" s="170">
        <f t="shared" si="15"/>
        <v>36</v>
      </c>
      <c r="AB94" s="171">
        <f t="shared" si="16"/>
        <v>1500</v>
      </c>
      <c r="AC94" s="172">
        <f t="shared" si="17"/>
        <v>54000</v>
      </c>
      <c r="AD94" s="170">
        <f t="shared" si="18"/>
        <v>36</v>
      </c>
      <c r="AE94" s="171">
        <f t="shared" si="19"/>
        <v>1500</v>
      </c>
      <c r="AF94" s="172">
        <f t="shared" si="20"/>
        <v>54000</v>
      </c>
      <c r="AG94" s="67"/>
    </row>
    <row r="95" spans="1:33">
      <c r="A95" s="134"/>
      <c r="B95" s="153">
        <v>16</v>
      </c>
      <c r="C95" s="121" t="s">
        <v>1001</v>
      </c>
      <c r="D95" s="121"/>
      <c r="E95" s="121"/>
      <c r="F95" s="121"/>
      <c r="G95" s="185">
        <f>$C$13</f>
        <v>0.1</v>
      </c>
      <c r="H95" s="164">
        <f>SUM(H80:H94)*G95</f>
        <v>116.67882651289683</v>
      </c>
      <c r="I95" s="164">
        <f t="shared" ref="I95:K95" si="38">$H95*I$78</f>
        <v>175018.23976934524</v>
      </c>
      <c r="J95" s="164">
        <f t="shared" si="38"/>
        <v>175018.23976934524</v>
      </c>
      <c r="K95" s="164">
        <f t="shared" si="38"/>
        <v>175018.23976934524</v>
      </c>
      <c r="L95" s="111"/>
      <c r="M95" s="111"/>
      <c r="N95" s="111"/>
      <c r="O95" s="111"/>
      <c r="P95" s="111"/>
      <c r="Q95" s="111"/>
      <c r="R95" s="111"/>
      <c r="S95" s="712"/>
      <c r="T95" s="169" t="s">
        <v>946</v>
      </c>
      <c r="U95" s="169" t="s">
        <v>946</v>
      </c>
      <c r="V95" s="121" t="s">
        <v>875</v>
      </c>
      <c r="W95" s="121" t="s">
        <v>961</v>
      </c>
      <c r="X95" s="170">
        <f>'Assumptions HR_AUN'!$D$4*3</f>
        <v>88211.039066799218</v>
      </c>
      <c r="Y95" s="171">
        <f t="shared" si="13"/>
        <v>1.9840854571139319</v>
      </c>
      <c r="Z95" s="172">
        <f t="shared" si="14"/>
        <v>175018.23976934524</v>
      </c>
      <c r="AA95" s="170">
        <f t="shared" si="15"/>
        <v>88211.039066799218</v>
      </c>
      <c r="AB95" s="171">
        <f t="shared" si="16"/>
        <v>1.9840854571139319</v>
      </c>
      <c r="AC95" s="172">
        <f t="shared" si="17"/>
        <v>175018.23976934524</v>
      </c>
      <c r="AD95" s="170">
        <f t="shared" si="18"/>
        <v>88211.039066799218</v>
      </c>
      <c r="AE95" s="171">
        <f t="shared" si="19"/>
        <v>1.9840854571139319</v>
      </c>
      <c r="AF95" s="172">
        <f t="shared" si="20"/>
        <v>175018.23976934524</v>
      </c>
      <c r="AG95" s="67"/>
    </row>
    <row r="96" spans="1:33">
      <c r="A96" s="134"/>
      <c r="B96" s="153">
        <v>17</v>
      </c>
      <c r="C96" s="121" t="s">
        <v>962</v>
      </c>
      <c r="D96" s="121"/>
      <c r="E96" s="121"/>
      <c r="F96" s="121"/>
      <c r="G96" s="185">
        <f>$C$14</f>
        <v>0.15</v>
      </c>
      <c r="H96" s="164">
        <f>SUM(H80:H93)*G96</f>
        <v>169.61823976934525</v>
      </c>
      <c r="I96" s="164">
        <f t="shared" ref="I96:K96" si="39">$H96*I$78</f>
        <v>254427.35965401787</v>
      </c>
      <c r="J96" s="164">
        <f t="shared" si="39"/>
        <v>254427.35965401787</v>
      </c>
      <c r="K96" s="164">
        <f t="shared" si="39"/>
        <v>254427.35965401787</v>
      </c>
      <c r="L96" s="111"/>
      <c r="M96" s="111"/>
      <c r="N96" s="111"/>
      <c r="O96" s="111"/>
      <c r="P96" s="111"/>
      <c r="Q96" s="111"/>
      <c r="R96" s="111"/>
      <c r="S96" s="712"/>
      <c r="T96" s="169" t="s">
        <v>946</v>
      </c>
      <c r="U96" s="169" t="s">
        <v>946</v>
      </c>
      <c r="V96" s="121" t="s">
        <v>881</v>
      </c>
      <c r="W96" s="121" t="s">
        <v>964</v>
      </c>
      <c r="X96" s="170">
        <f>I96/4</f>
        <v>63606.839913504467</v>
      </c>
      <c r="Y96" s="171">
        <f t="shared" si="13"/>
        <v>4</v>
      </c>
      <c r="Z96" s="172">
        <f t="shared" si="14"/>
        <v>254427.35965401787</v>
      </c>
      <c r="AA96" s="170">
        <f t="shared" si="15"/>
        <v>63606.839913504467</v>
      </c>
      <c r="AB96" s="171">
        <f t="shared" si="16"/>
        <v>4</v>
      </c>
      <c r="AC96" s="172">
        <f t="shared" si="17"/>
        <v>254427.35965401787</v>
      </c>
      <c r="AD96" s="170">
        <f t="shared" si="18"/>
        <v>63606.839913504467</v>
      </c>
      <c r="AE96" s="171">
        <f t="shared" si="19"/>
        <v>4</v>
      </c>
      <c r="AF96" s="172">
        <f t="shared" si="20"/>
        <v>254427.35965401787</v>
      </c>
      <c r="AG96" s="67"/>
    </row>
    <row r="97" spans="1:33">
      <c r="A97" s="134"/>
      <c r="B97" s="186" t="s">
        <v>770</v>
      </c>
      <c r="C97" s="187"/>
      <c r="D97" s="187"/>
      <c r="E97" s="187"/>
      <c r="F97" s="187"/>
      <c r="G97" s="188"/>
      <c r="H97" s="178">
        <f t="shared" ref="H97:K97" si="40">SUM(H80:H96)</f>
        <v>1453.0853314112105</v>
      </c>
      <c r="I97" s="178">
        <f t="shared" si="40"/>
        <v>2179627.9971168153</v>
      </c>
      <c r="J97" s="178">
        <f t="shared" si="40"/>
        <v>2179627.9971168153</v>
      </c>
      <c r="K97" s="178">
        <f t="shared" si="40"/>
        <v>2179627.9971168153</v>
      </c>
      <c r="L97" s="111"/>
      <c r="M97" s="111"/>
      <c r="N97" s="111"/>
      <c r="O97" s="111"/>
      <c r="P97" s="111"/>
      <c r="Q97" s="111"/>
      <c r="R97" s="111"/>
      <c r="S97" s="712"/>
      <c r="T97" s="111"/>
      <c r="U97" s="111"/>
      <c r="V97" s="111"/>
      <c r="W97" s="111"/>
      <c r="X97" s="132"/>
      <c r="Y97" s="133"/>
      <c r="Z97" s="132"/>
      <c r="AA97" s="132"/>
      <c r="AB97" s="133"/>
      <c r="AC97" s="132"/>
      <c r="AD97" s="132"/>
      <c r="AE97" s="133"/>
      <c r="AF97" s="132"/>
      <c r="AG97" s="67"/>
    </row>
    <row r="98" spans="1:33">
      <c r="A98" s="9"/>
      <c r="B98" s="111"/>
      <c r="C98" s="111"/>
      <c r="D98" s="111"/>
      <c r="E98" s="111"/>
      <c r="F98" s="111"/>
      <c r="G98" s="111"/>
      <c r="H98" s="111"/>
      <c r="I98" s="132"/>
      <c r="J98" s="111"/>
      <c r="K98" s="111"/>
      <c r="L98" s="111"/>
      <c r="M98" s="111"/>
      <c r="N98" s="111"/>
      <c r="O98" s="111"/>
      <c r="P98" s="111"/>
      <c r="Q98" s="111"/>
      <c r="R98" s="111"/>
      <c r="S98" s="712"/>
      <c r="T98" s="111"/>
      <c r="U98" s="111"/>
      <c r="V98" s="111"/>
      <c r="W98" s="111"/>
      <c r="X98" s="132"/>
      <c r="Y98" s="133"/>
      <c r="Z98" s="132"/>
      <c r="AA98" s="132"/>
      <c r="AB98" s="133"/>
      <c r="AC98" s="132"/>
      <c r="AD98" s="132"/>
      <c r="AE98" s="133"/>
      <c r="AF98" s="132"/>
      <c r="AG98" s="67"/>
    </row>
    <row r="99" spans="1:33">
      <c r="A99" s="9"/>
      <c r="B99" s="111"/>
      <c r="C99" s="111"/>
      <c r="D99" s="111"/>
      <c r="E99" s="111"/>
      <c r="F99" s="111"/>
      <c r="G99" s="111"/>
      <c r="H99" s="111"/>
      <c r="I99" s="111"/>
      <c r="J99" s="111"/>
      <c r="K99" s="111"/>
      <c r="L99" s="111"/>
      <c r="M99" s="111"/>
      <c r="N99" s="111"/>
      <c r="O99" s="111"/>
      <c r="P99" s="111"/>
      <c r="Q99" s="111"/>
      <c r="R99" s="111"/>
      <c r="S99" s="712"/>
      <c r="T99" s="111"/>
      <c r="U99" s="111"/>
      <c r="V99" s="111"/>
      <c r="W99" s="111"/>
      <c r="X99" s="132"/>
      <c r="Y99" s="133"/>
      <c r="Z99" s="132"/>
      <c r="AA99" s="132"/>
      <c r="AB99" s="133"/>
      <c r="AC99" s="132"/>
      <c r="AD99" s="132"/>
      <c r="AE99" s="133"/>
      <c r="AF99" s="132"/>
      <c r="AG99" s="67"/>
    </row>
    <row r="100" spans="1:33">
      <c r="A100" s="9"/>
      <c r="B100" s="111"/>
      <c r="C100" s="111"/>
      <c r="D100" s="111"/>
      <c r="E100" s="111"/>
      <c r="F100" s="111"/>
      <c r="G100" s="111"/>
      <c r="H100" s="151"/>
      <c r="I100" s="111"/>
      <c r="J100" s="111"/>
      <c r="K100" s="111"/>
      <c r="L100" s="111"/>
      <c r="M100" s="111"/>
      <c r="N100" s="111"/>
      <c r="O100" s="111"/>
      <c r="P100" s="111"/>
      <c r="Q100" s="111"/>
      <c r="R100" s="111"/>
      <c r="S100" s="712"/>
      <c r="T100" s="111"/>
      <c r="U100" s="111"/>
      <c r="V100" s="111"/>
      <c r="W100" s="111"/>
      <c r="X100" s="132"/>
      <c r="Y100" s="133"/>
      <c r="Z100" s="132"/>
      <c r="AA100" s="132"/>
      <c r="AB100" s="133"/>
      <c r="AC100" s="132"/>
      <c r="AD100" s="132"/>
      <c r="AE100" s="133"/>
      <c r="AF100" s="132"/>
      <c r="AG100" s="67"/>
    </row>
    <row r="101" spans="1:33">
      <c r="A101" s="9"/>
      <c r="B101" s="111"/>
      <c r="C101" s="111"/>
      <c r="D101" s="111"/>
      <c r="E101" s="111"/>
      <c r="F101" s="111"/>
      <c r="G101" s="111"/>
      <c r="H101" s="111"/>
      <c r="I101" s="111"/>
      <c r="J101" s="111"/>
      <c r="K101" s="111"/>
      <c r="L101" s="111"/>
      <c r="M101" s="111"/>
      <c r="N101" s="111"/>
      <c r="O101" s="111"/>
      <c r="P101" s="111"/>
      <c r="Q101" s="111"/>
      <c r="R101" s="111"/>
      <c r="S101" s="712"/>
      <c r="T101" s="111"/>
      <c r="U101" s="111"/>
      <c r="V101" s="111"/>
      <c r="W101" s="111"/>
      <c r="X101" s="132"/>
      <c r="Y101" s="133"/>
      <c r="Z101" s="132"/>
      <c r="AA101" s="132"/>
      <c r="AB101" s="133"/>
      <c r="AC101" s="132"/>
      <c r="AD101" s="132"/>
      <c r="AE101" s="133"/>
      <c r="AF101" s="132"/>
      <c r="AG101" s="67"/>
    </row>
    <row r="102" spans="1:33">
      <c r="A102" s="725">
        <v>3</v>
      </c>
      <c r="B102" s="726" t="e" vm="1">
        <f>'[2]AUN Budget'!$E$14</f>
        <v>#VALUE!</v>
      </c>
      <c r="C102" s="718"/>
      <c r="D102" s="718"/>
      <c r="E102" s="718"/>
      <c r="F102" s="718"/>
      <c r="G102" s="718"/>
      <c r="H102" s="728"/>
      <c r="I102" s="189">
        <v>3971</v>
      </c>
      <c r="J102" s="190">
        <v>2753</v>
      </c>
      <c r="K102" s="190">
        <v>1948</v>
      </c>
      <c r="L102" s="111"/>
      <c r="M102" s="111"/>
      <c r="N102" s="111"/>
      <c r="O102" s="111"/>
      <c r="P102" s="111"/>
      <c r="Q102" s="111"/>
      <c r="R102" s="111"/>
      <c r="S102" s="712"/>
      <c r="T102" s="111"/>
      <c r="U102" s="111"/>
      <c r="V102" s="111"/>
      <c r="W102" s="111"/>
      <c r="X102" s="191" t="s">
        <v>1002</v>
      </c>
      <c r="Y102" s="133"/>
      <c r="Z102" s="132"/>
      <c r="AA102" s="132"/>
      <c r="AB102" s="133"/>
      <c r="AC102" s="132"/>
      <c r="AD102" s="132"/>
      <c r="AE102" s="133"/>
      <c r="AF102" s="132"/>
      <c r="AG102" s="67"/>
    </row>
    <row r="103" spans="1:33">
      <c r="A103" s="134" t="s">
        <v>7</v>
      </c>
      <c r="B103" s="143" t="s">
        <v>755</v>
      </c>
      <c r="C103" s="143" t="s">
        <v>966</v>
      </c>
      <c r="D103" s="143" t="s">
        <v>967</v>
      </c>
      <c r="E103" s="143" t="s">
        <v>968</v>
      </c>
      <c r="F103" s="143" t="s">
        <v>969</v>
      </c>
      <c r="G103" s="143" t="s">
        <v>970</v>
      </c>
      <c r="H103" s="143" t="s">
        <v>971</v>
      </c>
      <c r="I103" s="113" t="s">
        <v>972</v>
      </c>
      <c r="J103" s="113" t="s">
        <v>973</v>
      </c>
      <c r="K103" s="113" t="s">
        <v>974</v>
      </c>
      <c r="L103" s="111"/>
      <c r="M103" s="111"/>
      <c r="N103" s="111"/>
      <c r="O103" s="111"/>
      <c r="P103" s="111"/>
      <c r="Q103" s="111"/>
      <c r="R103" s="111"/>
      <c r="S103" s="712"/>
      <c r="T103" s="159" t="s">
        <v>387</v>
      </c>
      <c r="U103" s="159" t="s">
        <v>388</v>
      </c>
      <c r="V103" s="159" t="s">
        <v>934</v>
      </c>
      <c r="W103" s="160" t="s">
        <v>935</v>
      </c>
      <c r="X103" s="161" t="s">
        <v>936</v>
      </c>
      <c r="Y103" s="162" t="s">
        <v>937</v>
      </c>
      <c r="Z103" s="161" t="s">
        <v>938</v>
      </c>
      <c r="AA103" s="161" t="s">
        <v>939</v>
      </c>
      <c r="AB103" s="162" t="s">
        <v>940</v>
      </c>
      <c r="AC103" s="161" t="s">
        <v>941</v>
      </c>
      <c r="AD103" s="161" t="s">
        <v>942</v>
      </c>
      <c r="AE103" s="162" t="s">
        <v>943</v>
      </c>
      <c r="AF103" s="161" t="s">
        <v>944</v>
      </c>
      <c r="AG103" s="67"/>
    </row>
    <row r="104" spans="1:33">
      <c r="A104" s="134"/>
      <c r="B104" s="153">
        <v>1</v>
      </c>
      <c r="C104" s="121" t="s">
        <v>975</v>
      </c>
      <c r="D104" s="121" t="s">
        <v>1003</v>
      </c>
      <c r="E104" s="192">
        <v>1</v>
      </c>
      <c r="F104" s="193">
        <v>1</v>
      </c>
      <c r="G104" s="194">
        <f>'Assumptions HR_AUN'!$F$8</f>
        <v>80.053187003968247</v>
      </c>
      <c r="H104" s="194">
        <f t="shared" ref="H104:H106" si="41">E104*F104*G104</f>
        <v>80.053187003968247</v>
      </c>
      <c r="I104" s="164">
        <f t="shared" ref="I104:K104" si="42">$H104*I$102</f>
        <v>317891.20559275791</v>
      </c>
      <c r="J104" s="164">
        <f t="shared" si="42"/>
        <v>220386.42382192457</v>
      </c>
      <c r="K104" s="164">
        <f t="shared" si="42"/>
        <v>155943.60828373014</v>
      </c>
      <c r="L104" s="111"/>
      <c r="M104" s="111"/>
      <c r="N104" s="111"/>
      <c r="O104" s="111"/>
      <c r="P104" s="111"/>
      <c r="Q104" s="111"/>
      <c r="R104" s="111"/>
      <c r="S104" s="712"/>
      <c r="T104" s="169" t="s">
        <v>946</v>
      </c>
      <c r="U104" s="169" t="s">
        <v>946</v>
      </c>
      <c r="V104" s="121" t="s">
        <v>977</v>
      </c>
      <c r="W104" s="121" t="s">
        <v>961</v>
      </c>
      <c r="X104" s="170">
        <f t="shared" ref="X104:X106" si="43">G104*$D$35*$D$36</f>
        <v>40346.806249999994</v>
      </c>
      <c r="Y104" s="171">
        <f t="shared" ref="Y104:Y118" si="44">I104/X104</f>
        <v>7.878968253968254</v>
      </c>
      <c r="Z104" s="172">
        <f t="shared" ref="Z104:Z118" si="45">X104*Y104</f>
        <v>317891.20559275791</v>
      </c>
      <c r="AA104" s="170">
        <f t="shared" ref="AA104:AA118" si="46">X104</f>
        <v>40346.806249999994</v>
      </c>
      <c r="AB104" s="171">
        <f t="shared" ref="AB104:AB118" si="47">J104/AA104</f>
        <v>5.462301587301587</v>
      </c>
      <c r="AC104" s="172">
        <f t="shared" ref="AC104:AC118" si="48">AA104*AB104</f>
        <v>220386.42382192455</v>
      </c>
      <c r="AD104" s="170">
        <f t="shared" ref="AD104:AD118" si="49">AA104</f>
        <v>40346.806249999994</v>
      </c>
      <c r="AE104" s="171">
        <f t="shared" ref="AE104:AE118" si="50">K104/AD104</f>
        <v>3.8650793650793651</v>
      </c>
      <c r="AF104" s="172">
        <f t="shared" ref="AF104:AF118" si="51">AD104*AE104</f>
        <v>155943.60828373014</v>
      </c>
      <c r="AG104" s="67"/>
    </row>
    <row r="105" spans="1:33">
      <c r="A105" s="134"/>
      <c r="B105" s="153">
        <v>2</v>
      </c>
      <c r="C105" s="121" t="s">
        <v>978</v>
      </c>
      <c r="D105" s="121" t="s">
        <v>1004</v>
      </c>
      <c r="E105" s="193">
        <v>1</v>
      </c>
      <c r="F105" s="193">
        <v>11</v>
      </c>
      <c r="G105" s="194">
        <f>'Assumptions HR_AUN'!$F$8</f>
        <v>80.053187003968247</v>
      </c>
      <c r="H105" s="194">
        <f t="shared" si="41"/>
        <v>880.58505704365075</v>
      </c>
      <c r="I105" s="164">
        <f t="shared" ref="I105:K105" si="52">$H105*I$102</f>
        <v>3496803.2615203373</v>
      </c>
      <c r="J105" s="164">
        <f t="shared" si="52"/>
        <v>2424250.6620411705</v>
      </c>
      <c r="K105" s="164">
        <f t="shared" si="52"/>
        <v>1715379.6911210318</v>
      </c>
      <c r="L105" s="111"/>
      <c r="M105" s="111"/>
      <c r="N105" s="111"/>
      <c r="O105" s="111"/>
      <c r="P105" s="111"/>
      <c r="Q105" s="111"/>
      <c r="R105" s="111"/>
      <c r="S105" s="712"/>
      <c r="T105" s="169" t="s">
        <v>946</v>
      </c>
      <c r="U105" s="169" t="s">
        <v>946</v>
      </c>
      <c r="V105" s="121" t="s">
        <v>977</v>
      </c>
      <c r="W105" s="121" t="s">
        <v>961</v>
      </c>
      <c r="X105" s="170">
        <f t="shared" si="43"/>
        <v>40346.806249999994</v>
      </c>
      <c r="Y105" s="171">
        <f t="shared" si="44"/>
        <v>86.668650793650812</v>
      </c>
      <c r="Z105" s="172">
        <f t="shared" si="45"/>
        <v>3496803.2615203373</v>
      </c>
      <c r="AA105" s="170">
        <f t="shared" si="46"/>
        <v>40346.806249999994</v>
      </c>
      <c r="AB105" s="171">
        <f t="shared" si="47"/>
        <v>60.085317460317469</v>
      </c>
      <c r="AC105" s="172">
        <f t="shared" si="48"/>
        <v>2424250.6620411705</v>
      </c>
      <c r="AD105" s="170">
        <f t="shared" si="49"/>
        <v>40346.806249999994</v>
      </c>
      <c r="AE105" s="171">
        <f t="shared" si="50"/>
        <v>42.515873015873019</v>
      </c>
      <c r="AF105" s="172">
        <f t="shared" si="51"/>
        <v>1715379.6911210315</v>
      </c>
      <c r="AG105" s="67"/>
    </row>
    <row r="106" spans="1:33">
      <c r="A106" s="134"/>
      <c r="B106" s="153">
        <v>3</v>
      </c>
      <c r="C106" s="121" t="s">
        <v>978</v>
      </c>
      <c r="D106" s="121" t="s">
        <v>1005</v>
      </c>
      <c r="E106" s="192">
        <v>0.15</v>
      </c>
      <c r="F106" s="193">
        <v>23</v>
      </c>
      <c r="G106" s="194">
        <f>'Assumptions HR_AUN'!$F$8</f>
        <v>80.053187003968247</v>
      </c>
      <c r="H106" s="194">
        <f t="shared" si="41"/>
        <v>276.18349516369045</v>
      </c>
      <c r="I106" s="164">
        <f t="shared" ref="I106:K106" si="53">$H106*I$102</f>
        <v>1096724.6592950148</v>
      </c>
      <c r="J106" s="164">
        <f t="shared" si="53"/>
        <v>760333.16218563984</v>
      </c>
      <c r="K106" s="164">
        <f t="shared" si="53"/>
        <v>538005.44857886899</v>
      </c>
      <c r="L106" s="111"/>
      <c r="M106" s="111"/>
      <c r="N106" s="111"/>
      <c r="O106" s="111"/>
      <c r="P106" s="111"/>
      <c r="Q106" s="111"/>
      <c r="R106" s="111"/>
      <c r="S106" s="712"/>
      <c r="T106" s="169" t="s">
        <v>946</v>
      </c>
      <c r="U106" s="169" t="s">
        <v>946</v>
      </c>
      <c r="V106" s="121" t="s">
        <v>977</v>
      </c>
      <c r="W106" s="121" t="s">
        <v>961</v>
      </c>
      <c r="X106" s="170">
        <f t="shared" si="43"/>
        <v>40346.806249999994</v>
      </c>
      <c r="Y106" s="171">
        <f t="shared" si="44"/>
        <v>27.182440476190479</v>
      </c>
      <c r="Z106" s="172">
        <f t="shared" si="45"/>
        <v>1096724.6592950148</v>
      </c>
      <c r="AA106" s="170">
        <f t="shared" si="46"/>
        <v>40346.806249999994</v>
      </c>
      <c r="AB106" s="171">
        <f t="shared" si="47"/>
        <v>18.844940476190477</v>
      </c>
      <c r="AC106" s="172">
        <f t="shared" si="48"/>
        <v>760333.16218563984</v>
      </c>
      <c r="AD106" s="170">
        <f t="shared" si="49"/>
        <v>40346.806249999994</v>
      </c>
      <c r="AE106" s="171">
        <f t="shared" si="50"/>
        <v>13.334523809523811</v>
      </c>
      <c r="AF106" s="172">
        <f t="shared" si="51"/>
        <v>538005.44857886899</v>
      </c>
      <c r="AG106" s="67"/>
    </row>
    <row r="107" spans="1:33">
      <c r="A107" s="134"/>
      <c r="B107" s="153">
        <v>4</v>
      </c>
      <c r="C107" s="121" t="s">
        <v>978</v>
      </c>
      <c r="D107" s="121" t="s">
        <v>1006</v>
      </c>
      <c r="E107" s="192">
        <v>0.1</v>
      </c>
      <c r="F107" s="193">
        <v>1</v>
      </c>
      <c r="G107" s="194">
        <v>400</v>
      </c>
      <c r="H107" s="194">
        <f>G107*F107*E107</f>
        <v>40</v>
      </c>
      <c r="I107" s="164">
        <f t="shared" ref="I107:K107" si="54">$H107*I$102</f>
        <v>158840</v>
      </c>
      <c r="J107" s="164">
        <f t="shared" si="54"/>
        <v>110120</v>
      </c>
      <c r="K107" s="164">
        <f t="shared" si="54"/>
        <v>77920</v>
      </c>
      <c r="L107" s="111"/>
      <c r="M107" s="111"/>
      <c r="N107" s="111"/>
      <c r="O107" s="111"/>
      <c r="P107" s="111"/>
      <c r="Q107" s="111"/>
      <c r="R107" s="111"/>
      <c r="S107" s="712"/>
      <c r="T107" s="169" t="s">
        <v>946</v>
      </c>
      <c r="U107" s="169" t="s">
        <v>946</v>
      </c>
      <c r="V107" s="121" t="s">
        <v>994</v>
      </c>
      <c r="W107" s="121" t="s">
        <v>789</v>
      </c>
      <c r="X107" s="170">
        <f>$G$115</f>
        <v>200</v>
      </c>
      <c r="Y107" s="171">
        <f t="shared" si="44"/>
        <v>794.2</v>
      </c>
      <c r="Z107" s="172">
        <f t="shared" si="45"/>
        <v>158840</v>
      </c>
      <c r="AA107" s="170">
        <f t="shared" si="46"/>
        <v>200</v>
      </c>
      <c r="AB107" s="171">
        <f t="shared" si="47"/>
        <v>550.6</v>
      </c>
      <c r="AC107" s="172">
        <f t="shared" si="48"/>
        <v>110120</v>
      </c>
      <c r="AD107" s="170">
        <f t="shared" si="49"/>
        <v>200</v>
      </c>
      <c r="AE107" s="171">
        <f t="shared" si="50"/>
        <v>389.6</v>
      </c>
      <c r="AF107" s="172">
        <f t="shared" si="51"/>
        <v>77920</v>
      </c>
      <c r="AG107" s="67"/>
    </row>
    <row r="108" spans="1:33">
      <c r="A108" s="134"/>
      <c r="B108" s="153">
        <v>5</v>
      </c>
      <c r="C108" s="121" t="s">
        <v>978</v>
      </c>
      <c r="D108" s="121" t="s">
        <v>1007</v>
      </c>
      <c r="E108" s="192">
        <v>0.05</v>
      </c>
      <c r="F108" s="193">
        <v>1</v>
      </c>
      <c r="G108" s="194">
        <v>185</v>
      </c>
      <c r="H108" s="194">
        <f t="shared" ref="H108:H109" si="55">E108*F108*G108</f>
        <v>9.25</v>
      </c>
      <c r="I108" s="164">
        <f t="shared" ref="I108:K108" si="56">$H108*I$102</f>
        <v>36731.75</v>
      </c>
      <c r="J108" s="164">
        <f t="shared" si="56"/>
        <v>25465.25</v>
      </c>
      <c r="K108" s="164">
        <f t="shared" si="56"/>
        <v>18019</v>
      </c>
      <c r="L108" s="111"/>
      <c r="M108" s="111"/>
      <c r="N108" s="111"/>
      <c r="O108" s="111"/>
      <c r="P108" s="111"/>
      <c r="Q108" s="111"/>
      <c r="R108" s="111"/>
      <c r="S108" s="712"/>
      <c r="T108" s="169" t="s">
        <v>946</v>
      </c>
      <c r="U108" s="169" t="s">
        <v>946</v>
      </c>
      <c r="V108" s="121" t="s">
        <v>848</v>
      </c>
      <c r="W108" s="164" t="s">
        <v>947</v>
      </c>
      <c r="X108" s="170">
        <f t="shared" ref="X108:X109" si="57">G108*$D$35*$D$36/20</f>
        <v>4662</v>
      </c>
      <c r="Y108" s="171">
        <f t="shared" si="44"/>
        <v>7.878968253968254</v>
      </c>
      <c r="Z108" s="172">
        <f t="shared" si="45"/>
        <v>36731.75</v>
      </c>
      <c r="AA108" s="170">
        <f t="shared" si="46"/>
        <v>4662</v>
      </c>
      <c r="AB108" s="171">
        <f t="shared" si="47"/>
        <v>5.462301587301587</v>
      </c>
      <c r="AC108" s="172">
        <f t="shared" si="48"/>
        <v>25465.25</v>
      </c>
      <c r="AD108" s="170">
        <f t="shared" si="49"/>
        <v>4662</v>
      </c>
      <c r="AE108" s="171">
        <f t="shared" si="50"/>
        <v>3.8650793650793651</v>
      </c>
      <c r="AF108" s="172">
        <f t="shared" si="51"/>
        <v>18019</v>
      </c>
      <c r="AG108" s="67"/>
    </row>
    <row r="109" spans="1:33">
      <c r="A109" s="134"/>
      <c r="B109" s="153">
        <v>6</v>
      </c>
      <c r="C109" s="121" t="s">
        <v>978</v>
      </c>
      <c r="D109" s="121" t="s">
        <v>1008</v>
      </c>
      <c r="E109" s="192">
        <v>0.1</v>
      </c>
      <c r="F109" s="193">
        <v>3</v>
      </c>
      <c r="G109" s="194">
        <v>185</v>
      </c>
      <c r="H109" s="194">
        <f t="shared" si="55"/>
        <v>55.500000000000007</v>
      </c>
      <c r="I109" s="164">
        <f t="shared" ref="I109:K109" si="58">$H109*I$102</f>
        <v>220390.50000000003</v>
      </c>
      <c r="J109" s="164">
        <f t="shared" si="58"/>
        <v>152791.50000000003</v>
      </c>
      <c r="K109" s="164">
        <f t="shared" si="58"/>
        <v>108114.00000000001</v>
      </c>
      <c r="L109" s="111"/>
      <c r="M109" s="111"/>
      <c r="N109" s="111"/>
      <c r="O109" s="111"/>
      <c r="P109" s="111"/>
      <c r="Q109" s="111"/>
      <c r="R109" s="111"/>
      <c r="S109" s="712"/>
      <c r="T109" s="169" t="s">
        <v>946</v>
      </c>
      <c r="U109" s="169" t="s">
        <v>946</v>
      </c>
      <c r="V109" s="121" t="s">
        <v>848</v>
      </c>
      <c r="W109" s="164" t="s">
        <v>947</v>
      </c>
      <c r="X109" s="170">
        <f t="shared" si="57"/>
        <v>4662</v>
      </c>
      <c r="Y109" s="171">
        <f t="shared" si="44"/>
        <v>47.273809523809533</v>
      </c>
      <c r="Z109" s="172">
        <f t="shared" si="45"/>
        <v>220390.50000000003</v>
      </c>
      <c r="AA109" s="170">
        <f t="shared" si="46"/>
        <v>4662</v>
      </c>
      <c r="AB109" s="171">
        <f t="shared" si="47"/>
        <v>32.773809523809533</v>
      </c>
      <c r="AC109" s="172">
        <f t="shared" si="48"/>
        <v>152791.50000000003</v>
      </c>
      <c r="AD109" s="170">
        <f t="shared" si="49"/>
        <v>4662</v>
      </c>
      <c r="AE109" s="171">
        <f t="shared" si="50"/>
        <v>23.190476190476193</v>
      </c>
      <c r="AF109" s="172">
        <f t="shared" si="51"/>
        <v>108114.00000000001</v>
      </c>
      <c r="AG109" s="67"/>
    </row>
    <row r="110" spans="1:33">
      <c r="A110" s="134"/>
      <c r="B110" s="153">
        <v>7</v>
      </c>
      <c r="C110" s="121" t="s">
        <v>978</v>
      </c>
      <c r="D110" s="121" t="s">
        <v>1009</v>
      </c>
      <c r="E110" s="192">
        <v>0.3</v>
      </c>
      <c r="F110" s="729">
        <v>360</v>
      </c>
      <c r="G110" s="729">
        <v>48</v>
      </c>
      <c r="H110" s="194">
        <f t="shared" ref="H110:H111" si="59">F110*G110*E110</f>
        <v>5184</v>
      </c>
      <c r="I110" s="164">
        <f t="shared" ref="I110:K110" si="60">$H110*I$102</f>
        <v>20585664</v>
      </c>
      <c r="J110" s="164">
        <f t="shared" si="60"/>
        <v>14271552</v>
      </c>
      <c r="K110" s="164">
        <f t="shared" si="60"/>
        <v>10098432</v>
      </c>
      <c r="L110" s="111"/>
      <c r="M110" s="111"/>
      <c r="N110" s="111"/>
      <c r="O110" s="111"/>
      <c r="P110" s="111"/>
      <c r="Q110" s="111"/>
      <c r="R110" s="111"/>
      <c r="S110" s="712"/>
      <c r="T110" s="169" t="s">
        <v>946</v>
      </c>
      <c r="U110" s="169" t="s">
        <v>946</v>
      </c>
      <c r="V110" s="121" t="s">
        <v>957</v>
      </c>
      <c r="W110" s="121" t="s">
        <v>789</v>
      </c>
      <c r="X110" s="170">
        <f t="shared" ref="X110:X111" si="61">$H$111</f>
        <v>1080</v>
      </c>
      <c r="Y110" s="171">
        <f t="shared" si="44"/>
        <v>19060.8</v>
      </c>
      <c r="Z110" s="172">
        <f t="shared" si="45"/>
        <v>20585664</v>
      </c>
      <c r="AA110" s="170">
        <f t="shared" si="46"/>
        <v>1080</v>
      </c>
      <c r="AB110" s="171">
        <f t="shared" si="47"/>
        <v>13214.4</v>
      </c>
      <c r="AC110" s="172">
        <f t="shared" si="48"/>
        <v>14271552</v>
      </c>
      <c r="AD110" s="170">
        <f t="shared" si="49"/>
        <v>1080</v>
      </c>
      <c r="AE110" s="171">
        <f t="shared" si="50"/>
        <v>9350.4</v>
      </c>
      <c r="AF110" s="172">
        <f t="shared" si="51"/>
        <v>10098432</v>
      </c>
      <c r="AG110" s="67"/>
    </row>
    <row r="111" spans="1:33">
      <c r="A111" s="134"/>
      <c r="B111" s="153">
        <v>8</v>
      </c>
      <c r="C111" s="121" t="s">
        <v>978</v>
      </c>
      <c r="D111" s="121" t="s">
        <v>1010</v>
      </c>
      <c r="E111" s="192">
        <v>0.25</v>
      </c>
      <c r="F111" s="193">
        <v>360</v>
      </c>
      <c r="G111" s="194">
        <v>12</v>
      </c>
      <c r="H111" s="194">
        <f t="shared" si="59"/>
        <v>1080</v>
      </c>
      <c r="I111" s="164">
        <f t="shared" ref="I111:K111" si="62">$H111*I$102</f>
        <v>4288680</v>
      </c>
      <c r="J111" s="164">
        <f t="shared" si="62"/>
        <v>2973240</v>
      </c>
      <c r="K111" s="164">
        <f t="shared" si="62"/>
        <v>2103840</v>
      </c>
      <c r="L111" s="111"/>
      <c r="M111" s="111"/>
      <c r="N111" s="111"/>
      <c r="O111" s="111"/>
      <c r="P111" s="111"/>
      <c r="Q111" s="111"/>
      <c r="R111" s="111"/>
      <c r="S111" s="712"/>
      <c r="T111" s="169" t="s">
        <v>946</v>
      </c>
      <c r="U111" s="169" t="s">
        <v>946</v>
      </c>
      <c r="V111" s="121" t="s">
        <v>957</v>
      </c>
      <c r="W111" s="121" t="s">
        <v>789</v>
      </c>
      <c r="X111" s="170">
        <f t="shared" si="61"/>
        <v>1080</v>
      </c>
      <c r="Y111" s="171">
        <f t="shared" si="44"/>
        <v>3971</v>
      </c>
      <c r="Z111" s="172">
        <f t="shared" si="45"/>
        <v>4288680</v>
      </c>
      <c r="AA111" s="170">
        <f t="shared" si="46"/>
        <v>1080</v>
      </c>
      <c r="AB111" s="171">
        <f t="shared" si="47"/>
        <v>2753</v>
      </c>
      <c r="AC111" s="172">
        <f t="shared" si="48"/>
        <v>2973240</v>
      </c>
      <c r="AD111" s="170">
        <f t="shared" si="49"/>
        <v>1080</v>
      </c>
      <c r="AE111" s="171">
        <f t="shared" si="50"/>
        <v>1948</v>
      </c>
      <c r="AF111" s="172">
        <f t="shared" si="51"/>
        <v>2103840</v>
      </c>
      <c r="AG111" s="67"/>
    </row>
    <row r="112" spans="1:33">
      <c r="A112" s="134"/>
      <c r="B112" s="153">
        <v>9</v>
      </c>
      <c r="C112" s="121" t="s">
        <v>1011</v>
      </c>
      <c r="D112" s="121" t="s">
        <v>1012</v>
      </c>
      <c r="E112" s="192">
        <v>0.33</v>
      </c>
      <c r="F112" s="193">
        <v>3</v>
      </c>
      <c r="G112" s="194">
        <f>'Assumptions HR_AUN'!$F$8</f>
        <v>80.053187003968247</v>
      </c>
      <c r="H112" s="194">
        <f>E112*F112*G112</f>
        <v>79.25265513392857</v>
      </c>
      <c r="I112" s="164">
        <f t="shared" ref="I112:K112" si="63">$H112*I$102</f>
        <v>314712.29353683034</v>
      </c>
      <c r="J112" s="164">
        <f t="shared" si="63"/>
        <v>218182.55958370536</v>
      </c>
      <c r="K112" s="164">
        <f t="shared" si="63"/>
        <v>154384.17220089285</v>
      </c>
      <c r="L112" s="111"/>
      <c r="M112" s="111"/>
      <c r="N112" s="111"/>
      <c r="O112" s="111"/>
      <c r="P112" s="111"/>
      <c r="Q112" s="111"/>
      <c r="R112" s="111"/>
      <c r="S112" s="712"/>
      <c r="T112" s="169" t="s">
        <v>946</v>
      </c>
      <c r="U112" s="169" t="s">
        <v>946</v>
      </c>
      <c r="V112" s="121" t="s">
        <v>977</v>
      </c>
      <c r="W112" s="121" t="s">
        <v>961</v>
      </c>
      <c r="X112" s="170">
        <f>G112*$D$35*$D$36</f>
        <v>40346.806249999994</v>
      </c>
      <c r="Y112" s="171">
        <f t="shared" si="44"/>
        <v>7.8001785714285718</v>
      </c>
      <c r="Z112" s="172">
        <f t="shared" si="45"/>
        <v>314712.29353683034</v>
      </c>
      <c r="AA112" s="170">
        <f t="shared" si="46"/>
        <v>40346.806249999994</v>
      </c>
      <c r="AB112" s="171">
        <f t="shared" si="47"/>
        <v>5.4076785714285718</v>
      </c>
      <c r="AC112" s="172">
        <f t="shared" si="48"/>
        <v>218182.55958370533</v>
      </c>
      <c r="AD112" s="170">
        <f t="shared" si="49"/>
        <v>40346.806249999994</v>
      </c>
      <c r="AE112" s="171">
        <f t="shared" si="50"/>
        <v>3.826428571428572</v>
      </c>
      <c r="AF112" s="172">
        <f t="shared" si="51"/>
        <v>154384.17220089285</v>
      </c>
      <c r="AG112" s="67"/>
    </row>
    <row r="113" spans="1:33">
      <c r="A113" s="134"/>
      <c r="B113" s="153">
        <v>10</v>
      </c>
      <c r="C113" s="121" t="s">
        <v>1011</v>
      </c>
      <c r="D113" s="121" t="s">
        <v>1013</v>
      </c>
      <c r="E113" s="192">
        <v>0.2</v>
      </c>
      <c r="F113" s="193">
        <v>1</v>
      </c>
      <c r="G113" s="194">
        <v>1000</v>
      </c>
      <c r="H113" s="194">
        <f t="shared" ref="H113:H115" si="64">F113*G113*E113</f>
        <v>200</v>
      </c>
      <c r="I113" s="164">
        <f t="shared" ref="I113:K113" si="65">$H113*I$102</f>
        <v>794200</v>
      </c>
      <c r="J113" s="164">
        <f t="shared" si="65"/>
        <v>550600</v>
      </c>
      <c r="K113" s="164">
        <f t="shared" si="65"/>
        <v>389600</v>
      </c>
      <c r="L113" s="111"/>
      <c r="M113" s="111"/>
      <c r="N113" s="111"/>
      <c r="O113" s="111"/>
      <c r="P113" s="111"/>
      <c r="Q113" s="111"/>
      <c r="R113" s="111"/>
      <c r="S113" s="712"/>
      <c r="T113" s="169" t="s">
        <v>946</v>
      </c>
      <c r="U113" s="169" t="s">
        <v>946</v>
      </c>
      <c r="V113" s="121" t="s">
        <v>994</v>
      </c>
      <c r="W113" s="121" t="s">
        <v>789</v>
      </c>
      <c r="X113" s="170">
        <f>$G$115</f>
        <v>200</v>
      </c>
      <c r="Y113" s="171">
        <f t="shared" si="44"/>
        <v>3971</v>
      </c>
      <c r="Z113" s="172">
        <f t="shared" si="45"/>
        <v>794200</v>
      </c>
      <c r="AA113" s="170">
        <f t="shared" si="46"/>
        <v>200</v>
      </c>
      <c r="AB113" s="171">
        <f t="shared" si="47"/>
        <v>2753</v>
      </c>
      <c r="AC113" s="172">
        <f t="shared" si="48"/>
        <v>550600</v>
      </c>
      <c r="AD113" s="170">
        <f t="shared" si="49"/>
        <v>200</v>
      </c>
      <c r="AE113" s="171">
        <f t="shared" si="50"/>
        <v>1948</v>
      </c>
      <c r="AF113" s="172">
        <f t="shared" si="51"/>
        <v>389600</v>
      </c>
      <c r="AG113" s="67"/>
    </row>
    <row r="114" spans="1:33">
      <c r="A114" s="134"/>
      <c r="B114" s="153">
        <v>11</v>
      </c>
      <c r="C114" s="121" t="s">
        <v>987</v>
      </c>
      <c r="D114" s="121" t="s">
        <v>898</v>
      </c>
      <c r="E114" s="192">
        <v>0.8</v>
      </c>
      <c r="F114" s="193">
        <v>8</v>
      </c>
      <c r="G114" s="194">
        <v>300</v>
      </c>
      <c r="H114" s="194">
        <f t="shared" si="64"/>
        <v>1920</v>
      </c>
      <c r="I114" s="164">
        <f t="shared" ref="I114:K114" si="66">$H114*I$102</f>
        <v>7624320</v>
      </c>
      <c r="J114" s="164">
        <f t="shared" si="66"/>
        <v>5285760</v>
      </c>
      <c r="K114" s="164">
        <f t="shared" si="66"/>
        <v>3740160</v>
      </c>
      <c r="L114" s="111"/>
      <c r="M114" s="111"/>
      <c r="N114" s="111"/>
      <c r="O114" s="111"/>
      <c r="P114" s="111"/>
      <c r="Q114" s="111"/>
      <c r="R114" s="111"/>
      <c r="S114" s="712"/>
      <c r="T114" s="169" t="s">
        <v>946</v>
      </c>
      <c r="U114" s="169" t="s">
        <v>946</v>
      </c>
      <c r="V114" s="121" t="s">
        <v>989</v>
      </c>
      <c r="W114" s="121" t="s">
        <v>789</v>
      </c>
      <c r="X114" s="170">
        <f>$G$114</f>
        <v>300</v>
      </c>
      <c r="Y114" s="171">
        <f t="shared" si="44"/>
        <v>25414.400000000001</v>
      </c>
      <c r="Z114" s="172">
        <f t="shared" si="45"/>
        <v>7624320</v>
      </c>
      <c r="AA114" s="170">
        <f t="shared" si="46"/>
        <v>300</v>
      </c>
      <c r="AB114" s="171">
        <f t="shared" si="47"/>
        <v>17619.2</v>
      </c>
      <c r="AC114" s="172">
        <f t="shared" si="48"/>
        <v>5285760</v>
      </c>
      <c r="AD114" s="170">
        <f t="shared" si="49"/>
        <v>300</v>
      </c>
      <c r="AE114" s="171">
        <f t="shared" si="50"/>
        <v>12467.2</v>
      </c>
      <c r="AF114" s="172">
        <f t="shared" si="51"/>
        <v>3740160</v>
      </c>
      <c r="AG114" s="67"/>
    </row>
    <row r="115" spans="1:33">
      <c r="A115" s="134"/>
      <c r="B115" s="153">
        <v>12</v>
      </c>
      <c r="C115" s="121" t="s">
        <v>987</v>
      </c>
      <c r="D115" s="121" t="s">
        <v>900</v>
      </c>
      <c r="E115" s="193">
        <v>0.3</v>
      </c>
      <c r="F115" s="193">
        <v>1</v>
      </c>
      <c r="G115" s="194">
        <v>200</v>
      </c>
      <c r="H115" s="194">
        <f t="shared" si="64"/>
        <v>60</v>
      </c>
      <c r="I115" s="164">
        <f t="shared" ref="I115:K115" si="67">$H115*I$102</f>
        <v>238260</v>
      </c>
      <c r="J115" s="164">
        <f t="shared" si="67"/>
        <v>165180</v>
      </c>
      <c r="K115" s="164">
        <f t="shared" si="67"/>
        <v>116880</v>
      </c>
      <c r="L115" s="111"/>
      <c r="M115" s="111"/>
      <c r="N115" s="111"/>
      <c r="O115" s="111"/>
      <c r="P115" s="111"/>
      <c r="Q115" s="111"/>
      <c r="R115" s="111"/>
      <c r="S115" s="712"/>
      <c r="T115" s="169" t="s">
        <v>946</v>
      </c>
      <c r="U115" s="169" t="s">
        <v>946</v>
      </c>
      <c r="V115" s="121" t="s">
        <v>994</v>
      </c>
      <c r="W115" s="121" t="s">
        <v>789</v>
      </c>
      <c r="X115" s="170">
        <f>$G$115</f>
        <v>200</v>
      </c>
      <c r="Y115" s="171">
        <f t="shared" si="44"/>
        <v>1191.3</v>
      </c>
      <c r="Z115" s="172">
        <f t="shared" si="45"/>
        <v>238260</v>
      </c>
      <c r="AA115" s="170">
        <f t="shared" si="46"/>
        <v>200</v>
      </c>
      <c r="AB115" s="171">
        <f t="shared" si="47"/>
        <v>825.9</v>
      </c>
      <c r="AC115" s="172">
        <f t="shared" si="48"/>
        <v>165180</v>
      </c>
      <c r="AD115" s="170">
        <f t="shared" si="49"/>
        <v>200</v>
      </c>
      <c r="AE115" s="171">
        <f t="shared" si="50"/>
        <v>584.4</v>
      </c>
      <c r="AF115" s="172">
        <f t="shared" si="51"/>
        <v>116880</v>
      </c>
      <c r="AG115" s="67"/>
    </row>
    <row r="116" spans="1:33">
      <c r="A116" s="134"/>
      <c r="B116" s="153">
        <v>13</v>
      </c>
      <c r="C116" s="121" t="s">
        <v>992</v>
      </c>
      <c r="D116" s="121"/>
      <c r="E116" s="192">
        <v>0.1</v>
      </c>
      <c r="F116" s="193">
        <v>12</v>
      </c>
      <c r="G116" s="194">
        <v>375</v>
      </c>
      <c r="H116" s="194">
        <f>E116*F116*G116</f>
        <v>450.00000000000006</v>
      </c>
      <c r="I116" s="164">
        <f t="shared" ref="I116:K116" si="68">$H116*I$102</f>
        <v>1786950.0000000002</v>
      </c>
      <c r="J116" s="164">
        <f t="shared" si="68"/>
        <v>1238850.0000000002</v>
      </c>
      <c r="K116" s="164">
        <f t="shared" si="68"/>
        <v>876600.00000000012</v>
      </c>
      <c r="L116" s="111"/>
      <c r="M116" s="111"/>
      <c r="N116" s="111"/>
      <c r="O116" s="111"/>
      <c r="P116" s="111"/>
      <c r="Q116" s="111"/>
      <c r="R116" s="111"/>
      <c r="S116" s="712"/>
      <c r="T116" s="169" t="s">
        <v>946</v>
      </c>
      <c r="U116" s="169" t="s">
        <v>946</v>
      </c>
      <c r="V116" s="121" t="s">
        <v>977</v>
      </c>
      <c r="W116" s="121" t="s">
        <v>961</v>
      </c>
      <c r="X116" s="170">
        <f>G112*$D$35*$D$36</f>
        <v>40346.806249999994</v>
      </c>
      <c r="Y116" s="171">
        <f t="shared" si="44"/>
        <v>44.289750939084563</v>
      </c>
      <c r="Z116" s="172">
        <f t="shared" si="45"/>
        <v>1786950.0000000002</v>
      </c>
      <c r="AA116" s="170">
        <f t="shared" si="46"/>
        <v>40346.806249999994</v>
      </c>
      <c r="AB116" s="171">
        <f t="shared" si="47"/>
        <v>30.705032569957144</v>
      </c>
      <c r="AC116" s="172">
        <f t="shared" si="48"/>
        <v>1238850.0000000002</v>
      </c>
      <c r="AD116" s="170">
        <f t="shared" si="49"/>
        <v>40346.806249999994</v>
      </c>
      <c r="AE116" s="171">
        <f t="shared" si="50"/>
        <v>21.726626751280971</v>
      </c>
      <c r="AF116" s="172">
        <f t="shared" si="51"/>
        <v>876600.00000000012</v>
      </c>
      <c r="AG116" s="67"/>
    </row>
    <row r="117" spans="1:33">
      <c r="A117" s="134"/>
      <c r="B117" s="153">
        <v>14</v>
      </c>
      <c r="C117" s="121" t="s">
        <v>1001</v>
      </c>
      <c r="D117" s="121"/>
      <c r="E117" s="193"/>
      <c r="F117" s="193"/>
      <c r="G117" s="194"/>
      <c r="H117" s="194">
        <f>SUM(H104:H116)*10%</f>
        <v>1031.4824394345239</v>
      </c>
      <c r="I117" s="164">
        <f t="shared" ref="I117:K117" si="69">$H117*I$102</f>
        <v>4096016.7669944945</v>
      </c>
      <c r="J117" s="164">
        <f t="shared" si="69"/>
        <v>2839671.1557632443</v>
      </c>
      <c r="K117" s="164">
        <f t="shared" si="69"/>
        <v>2009327.7920184527</v>
      </c>
      <c r="L117" s="111"/>
      <c r="M117" s="111"/>
      <c r="N117" s="111"/>
      <c r="O117" s="111"/>
      <c r="P117" s="111"/>
      <c r="Q117" s="111"/>
      <c r="R117" s="111"/>
      <c r="S117" s="712"/>
      <c r="T117" s="169" t="s">
        <v>946</v>
      </c>
      <c r="U117" s="169" t="s">
        <v>946</v>
      </c>
      <c r="V117" s="121" t="s">
        <v>875</v>
      </c>
      <c r="W117" s="121" t="s">
        <v>961</v>
      </c>
      <c r="X117" s="170">
        <f>'Assumptions HR_AUN'!$D$4*3</f>
        <v>88211.039066799218</v>
      </c>
      <c r="Y117" s="171">
        <f t="shared" si="44"/>
        <v>46.434287707377763</v>
      </c>
      <c r="Z117" s="172">
        <f t="shared" si="45"/>
        <v>4096016.7669944945</v>
      </c>
      <c r="AA117" s="170">
        <f t="shared" si="46"/>
        <v>88211.039066799218</v>
      </c>
      <c r="AB117" s="171">
        <f t="shared" si="47"/>
        <v>32.191788984742125</v>
      </c>
      <c r="AC117" s="172">
        <f t="shared" si="48"/>
        <v>2839671.1557632443</v>
      </c>
      <c r="AD117" s="170">
        <f t="shared" si="49"/>
        <v>88211.039066799218</v>
      </c>
      <c r="AE117" s="171">
        <f t="shared" si="50"/>
        <v>22.778643277253057</v>
      </c>
      <c r="AF117" s="172">
        <f t="shared" si="51"/>
        <v>2009327.7920184527</v>
      </c>
      <c r="AG117" s="67"/>
    </row>
    <row r="118" spans="1:33">
      <c r="A118" s="134"/>
      <c r="B118" s="153">
        <v>15</v>
      </c>
      <c r="C118" s="121" t="s">
        <v>962</v>
      </c>
      <c r="D118" s="195"/>
      <c r="E118" s="196"/>
      <c r="F118" s="197"/>
      <c r="G118" s="194"/>
      <c r="H118" s="194">
        <f>SUM(H104:H116)*15%</f>
        <v>1547.2236591517856</v>
      </c>
      <c r="I118" s="164">
        <f t="shared" ref="I118:K118" si="70">$H118*I$102</f>
        <v>6144025.1504917406</v>
      </c>
      <c r="J118" s="164">
        <f t="shared" si="70"/>
        <v>4259506.7336448655</v>
      </c>
      <c r="K118" s="164">
        <f t="shared" si="70"/>
        <v>3013991.6880276781</v>
      </c>
      <c r="L118" s="111"/>
      <c r="M118" s="111"/>
      <c r="N118" s="111"/>
      <c r="O118" s="111"/>
      <c r="P118" s="111"/>
      <c r="Q118" s="111"/>
      <c r="R118" s="111"/>
      <c r="S118" s="712"/>
      <c r="T118" s="169" t="s">
        <v>946</v>
      </c>
      <c r="U118" s="169" t="s">
        <v>946</v>
      </c>
      <c r="V118" s="121" t="s">
        <v>881</v>
      </c>
      <c r="W118" s="121" t="s">
        <v>964</v>
      </c>
      <c r="X118" s="170">
        <f>I118/4</f>
        <v>1536006.2876229351</v>
      </c>
      <c r="Y118" s="171">
        <f t="shared" si="44"/>
        <v>4</v>
      </c>
      <c r="Z118" s="172">
        <f t="shared" si="45"/>
        <v>6144025.1504917406</v>
      </c>
      <c r="AA118" s="170">
        <f t="shared" si="46"/>
        <v>1536006.2876229351</v>
      </c>
      <c r="AB118" s="171">
        <f t="shared" si="47"/>
        <v>2.773105011332158</v>
      </c>
      <c r="AC118" s="172">
        <f t="shared" si="48"/>
        <v>4259506.7336448655</v>
      </c>
      <c r="AD118" s="170">
        <f t="shared" si="49"/>
        <v>1536006.2876229351</v>
      </c>
      <c r="AE118" s="171">
        <f t="shared" si="50"/>
        <v>1.962226139511458</v>
      </c>
      <c r="AF118" s="172">
        <f t="shared" si="51"/>
        <v>3013991.6880276781</v>
      </c>
      <c r="AG118" s="67"/>
    </row>
    <row r="119" spans="1:33">
      <c r="A119" s="134"/>
      <c r="B119" s="186" t="s">
        <v>770</v>
      </c>
      <c r="C119" s="187"/>
      <c r="D119" s="198"/>
      <c r="E119" s="187"/>
      <c r="F119" s="199"/>
      <c r="G119" s="188"/>
      <c r="H119" s="178">
        <f t="shared" ref="H119:K119" si="71">SUM(H104:H118)</f>
        <v>12893.530492931546</v>
      </c>
      <c r="I119" s="178">
        <f t="shared" si="71"/>
        <v>51200209.587431177</v>
      </c>
      <c r="J119" s="178">
        <f t="shared" si="71"/>
        <v>35495889.44704055</v>
      </c>
      <c r="K119" s="178">
        <f t="shared" si="71"/>
        <v>25116597.400230654</v>
      </c>
      <c r="L119" s="111"/>
      <c r="M119" s="111"/>
      <c r="N119" s="111"/>
      <c r="O119" s="111"/>
      <c r="P119" s="111"/>
      <c r="Q119" s="111"/>
      <c r="R119" s="111"/>
      <c r="S119" s="712"/>
      <c r="T119" s="111"/>
      <c r="U119" s="111"/>
      <c r="V119" s="111"/>
      <c r="W119" s="111"/>
      <c r="X119" s="132"/>
      <c r="Y119" s="133"/>
      <c r="Z119" s="132"/>
      <c r="AA119" s="132"/>
      <c r="AB119" s="133"/>
      <c r="AC119" s="132"/>
      <c r="AD119" s="132"/>
      <c r="AE119" s="133"/>
      <c r="AF119" s="132"/>
      <c r="AG119" s="67"/>
    </row>
    <row r="120" spans="1:33">
      <c r="A120" s="9"/>
      <c r="B120" s="111"/>
      <c r="C120" s="111"/>
      <c r="D120" s="111"/>
      <c r="E120" s="111"/>
      <c r="F120" s="111"/>
      <c r="G120" s="111"/>
      <c r="H120" s="132"/>
      <c r="I120" s="132"/>
      <c r="J120" s="132"/>
      <c r="K120" s="132"/>
      <c r="L120" s="111"/>
      <c r="M120" s="111"/>
      <c r="N120" s="111"/>
      <c r="O120" s="111"/>
      <c r="P120" s="111"/>
      <c r="Q120" s="111"/>
      <c r="R120" s="111"/>
      <c r="S120" s="712"/>
      <c r="T120" s="111"/>
      <c r="U120" s="111"/>
      <c r="V120" s="111"/>
      <c r="W120" s="111"/>
      <c r="X120" s="132"/>
      <c r="Y120" s="133"/>
      <c r="Z120" s="132"/>
      <c r="AA120" s="132"/>
      <c r="AB120" s="133"/>
      <c r="AC120" s="132"/>
      <c r="AD120" s="132"/>
      <c r="AE120" s="133"/>
      <c r="AF120" s="132"/>
      <c r="AG120" s="67"/>
    </row>
    <row r="121" spans="1:33">
      <c r="A121" s="9"/>
      <c r="B121" s="111"/>
      <c r="C121" s="111"/>
      <c r="D121" s="111"/>
      <c r="E121" s="111"/>
      <c r="F121" s="111"/>
      <c r="G121" s="132"/>
      <c r="H121" s="111"/>
      <c r="I121" s="111"/>
      <c r="J121" s="111"/>
      <c r="K121" s="111"/>
      <c r="L121" s="111"/>
      <c r="M121" s="111"/>
      <c r="N121" s="111"/>
      <c r="O121" s="111"/>
      <c r="P121" s="111"/>
      <c r="Q121" s="111"/>
      <c r="R121" s="111"/>
      <c r="S121" s="712"/>
      <c r="T121" s="111"/>
      <c r="U121" s="111"/>
      <c r="V121" s="111"/>
      <c r="W121" s="111"/>
      <c r="X121" s="132"/>
      <c r="Y121" s="133"/>
      <c r="Z121" s="132"/>
      <c r="AA121" s="132"/>
      <c r="AB121" s="133"/>
      <c r="AC121" s="132"/>
      <c r="AD121" s="132"/>
      <c r="AE121" s="133"/>
      <c r="AF121" s="132"/>
      <c r="AG121" s="67"/>
    </row>
    <row r="122" spans="1:33">
      <c r="A122" s="9"/>
      <c r="B122" s="180"/>
      <c r="C122" s="111"/>
      <c r="D122" s="111"/>
      <c r="E122" s="111"/>
      <c r="F122" s="111"/>
      <c r="G122" s="111"/>
      <c r="H122" s="111"/>
      <c r="I122" s="111"/>
      <c r="J122" s="111"/>
      <c r="K122" s="111"/>
      <c r="L122" s="111"/>
      <c r="M122" s="111"/>
      <c r="N122" s="111"/>
      <c r="O122" s="111"/>
      <c r="P122" s="111"/>
      <c r="Q122" s="111"/>
      <c r="R122" s="111"/>
      <c r="S122" s="712"/>
      <c r="T122" s="111"/>
      <c r="U122" s="111"/>
      <c r="V122" s="111"/>
      <c r="W122" s="111"/>
      <c r="X122" s="132"/>
      <c r="Y122" s="133"/>
      <c r="Z122" s="132"/>
      <c r="AA122" s="132"/>
      <c r="AB122" s="133"/>
      <c r="AC122" s="132"/>
      <c r="AD122" s="132"/>
      <c r="AE122" s="133"/>
      <c r="AF122" s="132"/>
      <c r="AG122" s="67"/>
    </row>
    <row r="123" spans="1:33">
      <c r="A123" s="725">
        <v>4</v>
      </c>
      <c r="B123" s="726" t="e" vm="1">
        <f>'[2]AUN Budget'!$E$20</f>
        <v>#VALUE!</v>
      </c>
      <c r="C123" s="718"/>
      <c r="D123" s="718"/>
      <c r="E123" s="718"/>
      <c r="F123" s="718"/>
      <c r="G123" s="718"/>
      <c r="H123" s="728"/>
      <c r="I123" s="121">
        <v>5270</v>
      </c>
      <c r="J123" s="121">
        <v>3560</v>
      </c>
      <c r="K123" s="121">
        <v>2454</v>
      </c>
      <c r="L123" s="111"/>
      <c r="M123" s="111"/>
      <c r="N123" s="111"/>
      <c r="O123" s="111"/>
      <c r="P123" s="111"/>
      <c r="Q123" s="111"/>
      <c r="R123" s="111"/>
      <c r="S123" s="712"/>
      <c r="T123" s="111"/>
      <c r="U123" s="111"/>
      <c r="V123" s="111"/>
      <c r="W123" s="111"/>
      <c r="X123" s="191" t="s">
        <v>1002</v>
      </c>
      <c r="Y123" s="133"/>
      <c r="Z123" s="132"/>
      <c r="AA123" s="132"/>
      <c r="AB123" s="133"/>
      <c r="AC123" s="132"/>
      <c r="AD123" s="132"/>
      <c r="AE123" s="133"/>
      <c r="AF123" s="132"/>
      <c r="AG123" s="67"/>
    </row>
    <row r="124" spans="1:33">
      <c r="A124" s="134" t="s">
        <v>14</v>
      </c>
      <c r="B124" s="143" t="s">
        <v>755</v>
      </c>
      <c r="C124" s="143" t="s">
        <v>966</v>
      </c>
      <c r="D124" s="143" t="s">
        <v>967</v>
      </c>
      <c r="E124" s="143" t="s">
        <v>968</v>
      </c>
      <c r="F124" s="143" t="s">
        <v>969</v>
      </c>
      <c r="G124" s="143" t="s">
        <v>970</v>
      </c>
      <c r="H124" s="143" t="s">
        <v>971</v>
      </c>
      <c r="I124" s="113" t="s">
        <v>972</v>
      </c>
      <c r="J124" s="113" t="s">
        <v>973</v>
      </c>
      <c r="K124" s="113" t="s">
        <v>974</v>
      </c>
      <c r="L124" s="111"/>
      <c r="M124" s="111"/>
      <c r="N124" s="111"/>
      <c r="O124" s="111"/>
      <c r="P124" s="111"/>
      <c r="Q124" s="111"/>
      <c r="R124" s="111"/>
      <c r="S124" s="712"/>
      <c r="T124" s="159" t="s">
        <v>387</v>
      </c>
      <c r="U124" s="159" t="s">
        <v>388</v>
      </c>
      <c r="V124" s="159" t="s">
        <v>934</v>
      </c>
      <c r="W124" s="160" t="s">
        <v>935</v>
      </c>
      <c r="X124" s="161" t="s">
        <v>936</v>
      </c>
      <c r="Y124" s="162" t="s">
        <v>937</v>
      </c>
      <c r="Z124" s="161" t="s">
        <v>938</v>
      </c>
      <c r="AA124" s="161" t="s">
        <v>939</v>
      </c>
      <c r="AB124" s="162" t="s">
        <v>940</v>
      </c>
      <c r="AC124" s="161" t="s">
        <v>941</v>
      </c>
      <c r="AD124" s="161" t="s">
        <v>942</v>
      </c>
      <c r="AE124" s="162" t="s">
        <v>943</v>
      </c>
      <c r="AF124" s="161" t="s">
        <v>944</v>
      </c>
      <c r="AG124" s="67"/>
    </row>
    <row r="125" spans="1:33">
      <c r="A125" s="134"/>
      <c r="B125" s="153">
        <v>1</v>
      </c>
      <c r="C125" s="121" t="s">
        <v>975</v>
      </c>
      <c r="D125" s="121" t="s">
        <v>1003</v>
      </c>
      <c r="E125" s="192">
        <v>1</v>
      </c>
      <c r="F125" s="193">
        <v>1</v>
      </c>
      <c r="G125" s="194">
        <f>'Assumptions HR_AUN'!$F$8</f>
        <v>80.053187003968247</v>
      </c>
      <c r="H125" s="194">
        <f t="shared" ref="H125:H137" si="72">F125*G125*E125</f>
        <v>80.053187003968247</v>
      </c>
      <c r="I125" s="164">
        <f t="shared" ref="I125:K125" si="73">$H125*I$123</f>
        <v>421880.29551091266</v>
      </c>
      <c r="J125" s="164">
        <f t="shared" si="73"/>
        <v>284989.34573412698</v>
      </c>
      <c r="K125" s="164">
        <f t="shared" si="73"/>
        <v>196450.52090773807</v>
      </c>
      <c r="L125" s="111"/>
      <c r="M125" s="111"/>
      <c r="N125" s="111"/>
      <c r="O125" s="111"/>
      <c r="P125" s="111"/>
      <c r="Q125" s="111"/>
      <c r="R125" s="111"/>
      <c r="S125" s="712"/>
      <c r="T125" s="169" t="s">
        <v>946</v>
      </c>
      <c r="U125" s="169" t="s">
        <v>946</v>
      </c>
      <c r="V125" s="121" t="s">
        <v>977</v>
      </c>
      <c r="W125" s="121" t="s">
        <v>961</v>
      </c>
      <c r="X125" s="170">
        <f t="shared" ref="X125:X127" si="74">G125*$D$35*$D$36</f>
        <v>40346.806249999994</v>
      </c>
      <c r="Y125" s="200">
        <f t="shared" ref="Y125:Y138" si="75">I125/X125</f>
        <v>10.456349206349207</v>
      </c>
      <c r="Z125" s="167">
        <f t="shared" ref="Z125:Z139" si="76">X125*Y125</f>
        <v>421880.29551091266</v>
      </c>
      <c r="AA125" s="164">
        <f t="shared" ref="AA125:AA138" si="77">X125</f>
        <v>40346.806249999994</v>
      </c>
      <c r="AB125" s="200">
        <f t="shared" ref="AB125:AB138" si="78">J125/AA125</f>
        <v>7.0634920634920642</v>
      </c>
      <c r="AC125" s="167">
        <f t="shared" ref="AC125:AC139" si="79">AA125*AB125</f>
        <v>284989.34573412698</v>
      </c>
      <c r="AD125" s="164">
        <f t="shared" ref="AD125:AD138" si="80">AA125</f>
        <v>40346.806249999994</v>
      </c>
      <c r="AE125" s="200">
        <f t="shared" ref="AE125:AE139" si="81">K125/AD125</f>
        <v>4.8690476190476195</v>
      </c>
      <c r="AF125" s="167">
        <f t="shared" ref="AF125:AF139" si="82">AD125*AE125</f>
        <v>196450.52090773807</v>
      </c>
      <c r="AG125" s="67"/>
    </row>
    <row r="126" spans="1:33">
      <c r="A126" s="134"/>
      <c r="B126" s="153">
        <v>2</v>
      </c>
      <c r="C126" s="121" t="s">
        <v>978</v>
      </c>
      <c r="D126" s="121" t="s">
        <v>1004</v>
      </c>
      <c r="E126" s="193">
        <v>1</v>
      </c>
      <c r="F126" s="193">
        <v>5.5</v>
      </c>
      <c r="G126" s="194">
        <f>'Assumptions HR_AUN'!$F$8</f>
        <v>80.053187003968247</v>
      </c>
      <c r="H126" s="194">
        <f t="shared" si="72"/>
        <v>440.29252852182537</v>
      </c>
      <c r="I126" s="164">
        <f t="shared" ref="I126:K126" si="83">$H126*I$123</f>
        <v>2320341.6253100196</v>
      </c>
      <c r="J126" s="164">
        <f t="shared" si="83"/>
        <v>1567441.4015376982</v>
      </c>
      <c r="K126" s="164">
        <f t="shared" si="83"/>
        <v>1080477.8649925594</v>
      </c>
      <c r="L126" s="111"/>
      <c r="M126" s="111"/>
      <c r="N126" s="111"/>
      <c r="O126" s="111"/>
      <c r="P126" s="111"/>
      <c r="Q126" s="111"/>
      <c r="R126" s="111"/>
      <c r="S126" s="712"/>
      <c r="T126" s="169" t="s">
        <v>946</v>
      </c>
      <c r="U126" s="169" t="s">
        <v>946</v>
      </c>
      <c r="V126" s="121" t="s">
        <v>977</v>
      </c>
      <c r="W126" s="121" t="s">
        <v>961</v>
      </c>
      <c r="X126" s="170">
        <f t="shared" si="74"/>
        <v>40346.806249999994</v>
      </c>
      <c r="Y126" s="200">
        <f t="shared" si="75"/>
        <v>57.50992063492064</v>
      </c>
      <c r="Z126" s="167">
        <f t="shared" si="76"/>
        <v>2320341.6253100196</v>
      </c>
      <c r="AA126" s="164">
        <f t="shared" si="77"/>
        <v>40346.806249999994</v>
      </c>
      <c r="AB126" s="200">
        <f t="shared" si="78"/>
        <v>38.849206349206348</v>
      </c>
      <c r="AC126" s="167">
        <f t="shared" si="79"/>
        <v>1567441.4015376982</v>
      </c>
      <c r="AD126" s="164">
        <f t="shared" si="80"/>
        <v>40346.806249999994</v>
      </c>
      <c r="AE126" s="200">
        <f t="shared" si="81"/>
        <v>26.779761904761905</v>
      </c>
      <c r="AF126" s="167">
        <f t="shared" si="82"/>
        <v>1080477.8649925594</v>
      </c>
      <c r="AG126" s="67"/>
    </row>
    <row r="127" spans="1:33">
      <c r="A127" s="134"/>
      <c r="B127" s="153">
        <v>3</v>
      </c>
      <c r="C127" s="121" t="s">
        <v>978</v>
      </c>
      <c r="D127" s="121" t="s">
        <v>1005</v>
      </c>
      <c r="E127" s="192">
        <v>0.15</v>
      </c>
      <c r="F127" s="193">
        <v>12</v>
      </c>
      <c r="G127" s="194">
        <f>'Assumptions HR_AUN'!$F$8</f>
        <v>80.053187003968247</v>
      </c>
      <c r="H127" s="194">
        <f t="shared" si="72"/>
        <v>144.09573660714284</v>
      </c>
      <c r="I127" s="164">
        <f t="shared" ref="I127:K127" si="84">$H127*I$123</f>
        <v>759384.53191964282</v>
      </c>
      <c r="J127" s="164">
        <f t="shared" si="84"/>
        <v>512980.82232142851</v>
      </c>
      <c r="K127" s="164">
        <f t="shared" si="84"/>
        <v>353610.93763392855</v>
      </c>
      <c r="L127" s="111"/>
      <c r="M127" s="111"/>
      <c r="N127" s="111"/>
      <c r="O127" s="111"/>
      <c r="P127" s="111"/>
      <c r="Q127" s="111"/>
      <c r="R127" s="111"/>
      <c r="S127" s="712"/>
      <c r="T127" s="169" t="s">
        <v>946</v>
      </c>
      <c r="U127" s="169" t="s">
        <v>946</v>
      </c>
      <c r="V127" s="121" t="s">
        <v>977</v>
      </c>
      <c r="W127" s="121" t="s">
        <v>961</v>
      </c>
      <c r="X127" s="170">
        <f t="shared" si="74"/>
        <v>40346.806249999994</v>
      </c>
      <c r="Y127" s="200">
        <f t="shared" si="75"/>
        <v>18.821428571428573</v>
      </c>
      <c r="Z127" s="167">
        <f t="shared" si="76"/>
        <v>759384.53191964282</v>
      </c>
      <c r="AA127" s="164">
        <f t="shared" si="77"/>
        <v>40346.806249999994</v>
      </c>
      <c r="AB127" s="200">
        <f t="shared" si="78"/>
        <v>12.714285714285715</v>
      </c>
      <c r="AC127" s="167">
        <f t="shared" si="79"/>
        <v>512980.82232142851</v>
      </c>
      <c r="AD127" s="164">
        <f t="shared" si="80"/>
        <v>40346.806249999994</v>
      </c>
      <c r="AE127" s="200">
        <f t="shared" si="81"/>
        <v>8.7642857142857142</v>
      </c>
      <c r="AF127" s="167">
        <f t="shared" si="82"/>
        <v>353610.93763392849</v>
      </c>
      <c r="AG127" s="67"/>
    </row>
    <row r="128" spans="1:33">
      <c r="A128" s="134"/>
      <c r="B128" s="153">
        <v>4</v>
      </c>
      <c r="C128" s="121" t="s">
        <v>978</v>
      </c>
      <c r="D128" s="121" t="s">
        <v>1006</v>
      </c>
      <c r="E128" s="192">
        <v>0.1</v>
      </c>
      <c r="F128" s="193">
        <v>1</v>
      </c>
      <c r="G128" s="194">
        <v>400</v>
      </c>
      <c r="H128" s="194">
        <f t="shared" si="72"/>
        <v>40</v>
      </c>
      <c r="I128" s="164">
        <f t="shared" ref="I128:K128" si="85">$H128*I$123</f>
        <v>210800</v>
      </c>
      <c r="J128" s="164">
        <f t="shared" si="85"/>
        <v>142400</v>
      </c>
      <c r="K128" s="164">
        <f t="shared" si="85"/>
        <v>98160</v>
      </c>
      <c r="L128" s="111"/>
      <c r="M128" s="111"/>
      <c r="N128" s="111"/>
      <c r="O128" s="111"/>
      <c r="P128" s="111"/>
      <c r="Q128" s="111"/>
      <c r="R128" s="111"/>
      <c r="S128" s="712"/>
      <c r="T128" s="169" t="s">
        <v>946</v>
      </c>
      <c r="U128" s="169" t="s">
        <v>946</v>
      </c>
      <c r="V128" s="121" t="s">
        <v>994</v>
      </c>
      <c r="W128" s="121" t="s">
        <v>789</v>
      </c>
      <c r="X128" s="170">
        <f>$G$136</f>
        <v>200</v>
      </c>
      <c r="Y128" s="200">
        <f t="shared" si="75"/>
        <v>1054</v>
      </c>
      <c r="Z128" s="167">
        <f t="shared" si="76"/>
        <v>210800</v>
      </c>
      <c r="AA128" s="164">
        <f t="shared" si="77"/>
        <v>200</v>
      </c>
      <c r="AB128" s="200">
        <f t="shared" si="78"/>
        <v>712</v>
      </c>
      <c r="AC128" s="167">
        <f t="shared" si="79"/>
        <v>142400</v>
      </c>
      <c r="AD128" s="164">
        <f t="shared" si="80"/>
        <v>200</v>
      </c>
      <c r="AE128" s="200">
        <f t="shared" si="81"/>
        <v>490.8</v>
      </c>
      <c r="AF128" s="167">
        <f t="shared" si="82"/>
        <v>98160</v>
      </c>
      <c r="AG128" s="67"/>
    </row>
    <row r="129" spans="1:33">
      <c r="A129" s="134"/>
      <c r="B129" s="153">
        <v>5</v>
      </c>
      <c r="C129" s="121" t="s">
        <v>978</v>
      </c>
      <c r="D129" s="121" t="s">
        <v>1007</v>
      </c>
      <c r="E129" s="193">
        <v>0.05</v>
      </c>
      <c r="F129" s="201">
        <v>1</v>
      </c>
      <c r="G129" s="194">
        <v>185</v>
      </c>
      <c r="H129" s="194">
        <f t="shared" si="72"/>
        <v>9.25</v>
      </c>
      <c r="I129" s="164">
        <f t="shared" ref="I129:K129" si="86">$H129*I$123</f>
        <v>48747.5</v>
      </c>
      <c r="J129" s="164">
        <f t="shared" si="86"/>
        <v>32930</v>
      </c>
      <c r="K129" s="164">
        <f t="shared" si="86"/>
        <v>22699.5</v>
      </c>
      <c r="L129" s="111"/>
      <c r="M129" s="111"/>
      <c r="N129" s="111"/>
      <c r="O129" s="111"/>
      <c r="P129" s="111"/>
      <c r="Q129" s="111"/>
      <c r="R129" s="111"/>
      <c r="S129" s="712"/>
      <c r="T129" s="169" t="s">
        <v>946</v>
      </c>
      <c r="U129" s="169" t="s">
        <v>946</v>
      </c>
      <c r="V129" s="121" t="s">
        <v>848</v>
      </c>
      <c r="W129" s="164" t="s">
        <v>947</v>
      </c>
      <c r="X129" s="170">
        <f t="shared" ref="X129:X130" si="87">G129*$D$35*$D$36/20</f>
        <v>4662</v>
      </c>
      <c r="Y129" s="200">
        <f t="shared" si="75"/>
        <v>10.456349206349206</v>
      </c>
      <c r="Z129" s="167">
        <f t="shared" si="76"/>
        <v>48747.5</v>
      </c>
      <c r="AA129" s="164">
        <f t="shared" si="77"/>
        <v>4662</v>
      </c>
      <c r="AB129" s="200">
        <f t="shared" si="78"/>
        <v>7.0634920634920633</v>
      </c>
      <c r="AC129" s="167">
        <f t="shared" si="79"/>
        <v>32930</v>
      </c>
      <c r="AD129" s="164">
        <f t="shared" si="80"/>
        <v>4662</v>
      </c>
      <c r="AE129" s="200">
        <f t="shared" si="81"/>
        <v>4.8690476190476186</v>
      </c>
      <c r="AF129" s="167">
        <f t="shared" si="82"/>
        <v>22699.499999999996</v>
      </c>
      <c r="AG129" s="67"/>
    </row>
    <row r="130" spans="1:33">
      <c r="A130" s="134"/>
      <c r="B130" s="153">
        <v>6</v>
      </c>
      <c r="C130" s="121" t="s">
        <v>978</v>
      </c>
      <c r="D130" s="121" t="s">
        <v>1014</v>
      </c>
      <c r="E130" s="193">
        <v>0.1</v>
      </c>
      <c r="F130" s="201">
        <v>3</v>
      </c>
      <c r="G130" s="194">
        <v>185</v>
      </c>
      <c r="H130" s="194">
        <f t="shared" si="72"/>
        <v>55.5</v>
      </c>
      <c r="I130" s="164">
        <f t="shared" ref="I130:K130" si="88">$H130*I$123</f>
        <v>292485</v>
      </c>
      <c r="J130" s="164">
        <f t="shared" si="88"/>
        <v>197580</v>
      </c>
      <c r="K130" s="164">
        <f t="shared" si="88"/>
        <v>136197</v>
      </c>
      <c r="L130" s="111"/>
      <c r="M130" s="111"/>
      <c r="N130" s="111"/>
      <c r="O130" s="111"/>
      <c r="P130" s="111"/>
      <c r="Q130" s="111"/>
      <c r="R130" s="111"/>
      <c r="S130" s="712"/>
      <c r="T130" s="169" t="s">
        <v>946</v>
      </c>
      <c r="U130" s="169" t="s">
        <v>946</v>
      </c>
      <c r="V130" s="121" t="s">
        <v>848</v>
      </c>
      <c r="W130" s="164" t="s">
        <v>947</v>
      </c>
      <c r="X130" s="170">
        <f t="shared" si="87"/>
        <v>4662</v>
      </c>
      <c r="Y130" s="200">
        <f t="shared" si="75"/>
        <v>62.738095238095241</v>
      </c>
      <c r="Z130" s="167">
        <f t="shared" si="76"/>
        <v>292485</v>
      </c>
      <c r="AA130" s="164">
        <f t="shared" si="77"/>
        <v>4662</v>
      </c>
      <c r="AB130" s="200">
        <f t="shared" si="78"/>
        <v>42.38095238095238</v>
      </c>
      <c r="AC130" s="167">
        <f t="shared" si="79"/>
        <v>197580</v>
      </c>
      <c r="AD130" s="164">
        <f t="shared" si="80"/>
        <v>4662</v>
      </c>
      <c r="AE130" s="200">
        <f t="shared" si="81"/>
        <v>29.214285714285715</v>
      </c>
      <c r="AF130" s="167">
        <f t="shared" si="82"/>
        <v>136197</v>
      </c>
      <c r="AG130" s="67"/>
    </row>
    <row r="131" spans="1:33">
      <c r="A131" s="134"/>
      <c r="B131" s="153">
        <v>7</v>
      </c>
      <c r="C131" s="121" t="s">
        <v>978</v>
      </c>
      <c r="D131" s="121" t="s">
        <v>1009</v>
      </c>
      <c r="E131" s="192">
        <v>0.3</v>
      </c>
      <c r="F131" s="193">
        <v>180</v>
      </c>
      <c r="G131" s="194">
        <v>48</v>
      </c>
      <c r="H131" s="194">
        <f t="shared" si="72"/>
        <v>2592</v>
      </c>
      <c r="I131" s="164">
        <f t="shared" ref="I131:K131" si="89">$H131*I$123</f>
        <v>13659840</v>
      </c>
      <c r="J131" s="164">
        <f t="shared" si="89"/>
        <v>9227520</v>
      </c>
      <c r="K131" s="164">
        <f t="shared" si="89"/>
        <v>6360768</v>
      </c>
      <c r="L131" s="111"/>
      <c r="M131" s="111"/>
      <c r="N131" s="111"/>
      <c r="O131" s="111"/>
      <c r="P131" s="111"/>
      <c r="Q131" s="111"/>
      <c r="R131" s="111"/>
      <c r="S131" s="712"/>
      <c r="T131" s="169" t="s">
        <v>946</v>
      </c>
      <c r="U131" s="169" t="s">
        <v>946</v>
      </c>
      <c r="V131" s="121" t="s">
        <v>957</v>
      </c>
      <c r="W131" s="121" t="s">
        <v>789</v>
      </c>
      <c r="X131" s="170">
        <f t="shared" ref="X131:X132" si="90">$H$132</f>
        <v>540</v>
      </c>
      <c r="Y131" s="200">
        <f t="shared" si="75"/>
        <v>25296</v>
      </c>
      <c r="Z131" s="167">
        <f t="shared" si="76"/>
        <v>13659840</v>
      </c>
      <c r="AA131" s="164">
        <f t="shared" si="77"/>
        <v>540</v>
      </c>
      <c r="AB131" s="200">
        <f t="shared" si="78"/>
        <v>17088</v>
      </c>
      <c r="AC131" s="167">
        <f t="shared" si="79"/>
        <v>9227520</v>
      </c>
      <c r="AD131" s="164">
        <f t="shared" si="80"/>
        <v>540</v>
      </c>
      <c r="AE131" s="200">
        <f t="shared" si="81"/>
        <v>11779.2</v>
      </c>
      <c r="AF131" s="167">
        <f t="shared" si="82"/>
        <v>6360768</v>
      </c>
      <c r="AG131" s="67"/>
    </row>
    <row r="132" spans="1:33">
      <c r="A132" s="134"/>
      <c r="B132" s="153">
        <v>8</v>
      </c>
      <c r="C132" s="121" t="s">
        <v>978</v>
      </c>
      <c r="D132" s="121" t="s">
        <v>1010</v>
      </c>
      <c r="E132" s="192">
        <v>0.25</v>
      </c>
      <c r="F132" s="193">
        <v>360</v>
      </c>
      <c r="G132" s="194">
        <v>6</v>
      </c>
      <c r="H132" s="194">
        <f t="shared" si="72"/>
        <v>540</v>
      </c>
      <c r="I132" s="164">
        <f t="shared" ref="I132:K132" si="91">$H132*I$123</f>
        <v>2845800</v>
      </c>
      <c r="J132" s="164">
        <f t="shared" si="91"/>
        <v>1922400</v>
      </c>
      <c r="K132" s="164">
        <f t="shared" si="91"/>
        <v>1325160</v>
      </c>
      <c r="L132" s="111"/>
      <c r="M132" s="111"/>
      <c r="N132" s="111"/>
      <c r="O132" s="111"/>
      <c r="P132" s="111"/>
      <c r="Q132" s="111"/>
      <c r="R132" s="111"/>
      <c r="S132" s="712"/>
      <c r="T132" s="169" t="s">
        <v>946</v>
      </c>
      <c r="U132" s="169" t="s">
        <v>946</v>
      </c>
      <c r="V132" s="121" t="s">
        <v>957</v>
      </c>
      <c r="W132" s="121" t="s">
        <v>789</v>
      </c>
      <c r="X132" s="170">
        <f t="shared" si="90"/>
        <v>540</v>
      </c>
      <c r="Y132" s="200">
        <f t="shared" si="75"/>
        <v>5270</v>
      </c>
      <c r="Z132" s="167">
        <f t="shared" si="76"/>
        <v>2845800</v>
      </c>
      <c r="AA132" s="164">
        <f t="shared" si="77"/>
        <v>540</v>
      </c>
      <c r="AB132" s="200">
        <f t="shared" si="78"/>
        <v>3560</v>
      </c>
      <c r="AC132" s="167">
        <f t="shared" si="79"/>
        <v>1922400</v>
      </c>
      <c r="AD132" s="164">
        <f t="shared" si="80"/>
        <v>540</v>
      </c>
      <c r="AE132" s="200">
        <f t="shared" si="81"/>
        <v>2454</v>
      </c>
      <c r="AF132" s="167">
        <f t="shared" si="82"/>
        <v>1325160</v>
      </c>
      <c r="AG132" s="67"/>
    </row>
    <row r="133" spans="1:33">
      <c r="A133" s="134"/>
      <c r="B133" s="153">
        <v>9</v>
      </c>
      <c r="C133" s="121" t="s">
        <v>1011</v>
      </c>
      <c r="D133" s="121" t="s">
        <v>1012</v>
      </c>
      <c r="E133" s="192">
        <v>0.33</v>
      </c>
      <c r="F133" s="193">
        <v>3</v>
      </c>
      <c r="G133" s="194">
        <f>'Assumptions HR_AUN'!$F$8</f>
        <v>80.053187003968247</v>
      </c>
      <c r="H133" s="194">
        <f t="shared" si="72"/>
        <v>79.25265513392857</v>
      </c>
      <c r="I133" s="164">
        <f t="shared" ref="I133:K133" si="92">$H133*I$123</f>
        <v>417661.49255580356</v>
      </c>
      <c r="J133" s="164">
        <f t="shared" si="92"/>
        <v>282139.45227678568</v>
      </c>
      <c r="K133" s="164">
        <f t="shared" si="92"/>
        <v>194486.01569866072</v>
      </c>
      <c r="L133" s="111"/>
      <c r="M133" s="111"/>
      <c r="N133" s="111"/>
      <c r="O133" s="111"/>
      <c r="P133" s="111"/>
      <c r="Q133" s="111"/>
      <c r="R133" s="111"/>
      <c r="S133" s="712"/>
      <c r="T133" s="169" t="s">
        <v>946</v>
      </c>
      <c r="U133" s="169" t="s">
        <v>946</v>
      </c>
      <c r="V133" s="121" t="s">
        <v>977</v>
      </c>
      <c r="W133" s="121" t="s">
        <v>961</v>
      </c>
      <c r="X133" s="170">
        <f>G133*$D$35*$D$36</f>
        <v>40346.806249999994</v>
      </c>
      <c r="Y133" s="200">
        <f t="shared" si="75"/>
        <v>10.351785714285716</v>
      </c>
      <c r="Z133" s="167">
        <f t="shared" si="76"/>
        <v>417661.49255580362</v>
      </c>
      <c r="AA133" s="164">
        <f t="shared" si="77"/>
        <v>40346.806249999994</v>
      </c>
      <c r="AB133" s="200">
        <f t="shared" si="78"/>
        <v>6.9928571428571429</v>
      </c>
      <c r="AC133" s="167">
        <f t="shared" si="79"/>
        <v>282139.45227678568</v>
      </c>
      <c r="AD133" s="164">
        <f t="shared" si="80"/>
        <v>40346.806249999994</v>
      </c>
      <c r="AE133" s="200">
        <f t="shared" si="81"/>
        <v>4.8203571428571435</v>
      </c>
      <c r="AF133" s="167">
        <f t="shared" si="82"/>
        <v>194486.01569866072</v>
      </c>
      <c r="AG133" s="67"/>
    </row>
    <row r="134" spans="1:33">
      <c r="A134" s="134"/>
      <c r="B134" s="153">
        <v>10</v>
      </c>
      <c r="C134" s="121" t="s">
        <v>1011</v>
      </c>
      <c r="D134" s="121" t="s">
        <v>1015</v>
      </c>
      <c r="E134" s="193">
        <v>0.1</v>
      </c>
      <c r="F134" s="193">
        <v>1</v>
      </c>
      <c r="G134" s="194">
        <v>1000</v>
      </c>
      <c r="H134" s="194">
        <f t="shared" si="72"/>
        <v>100</v>
      </c>
      <c r="I134" s="164">
        <f t="shared" ref="I134:K134" si="93">$H134*I$123</f>
        <v>527000</v>
      </c>
      <c r="J134" s="164">
        <f t="shared" si="93"/>
        <v>356000</v>
      </c>
      <c r="K134" s="164">
        <f t="shared" si="93"/>
        <v>245400</v>
      </c>
      <c r="L134" s="111"/>
      <c r="M134" s="111"/>
      <c r="N134" s="111"/>
      <c r="O134" s="111"/>
      <c r="P134" s="111"/>
      <c r="Q134" s="111"/>
      <c r="R134" s="111"/>
      <c r="S134" s="712"/>
      <c r="T134" s="169" t="s">
        <v>946</v>
      </c>
      <c r="U134" s="169" t="s">
        <v>946</v>
      </c>
      <c r="V134" s="121" t="s">
        <v>994</v>
      </c>
      <c r="W134" s="121" t="s">
        <v>789</v>
      </c>
      <c r="X134" s="170">
        <f>$G$136</f>
        <v>200</v>
      </c>
      <c r="Y134" s="200">
        <f t="shared" si="75"/>
        <v>2635</v>
      </c>
      <c r="Z134" s="167">
        <f t="shared" si="76"/>
        <v>527000</v>
      </c>
      <c r="AA134" s="164">
        <f t="shared" si="77"/>
        <v>200</v>
      </c>
      <c r="AB134" s="200">
        <f t="shared" si="78"/>
        <v>1780</v>
      </c>
      <c r="AC134" s="167">
        <f t="shared" si="79"/>
        <v>356000</v>
      </c>
      <c r="AD134" s="164">
        <f t="shared" si="80"/>
        <v>200</v>
      </c>
      <c r="AE134" s="200">
        <f t="shared" si="81"/>
        <v>1227</v>
      </c>
      <c r="AF134" s="167">
        <f t="shared" si="82"/>
        <v>245400</v>
      </c>
      <c r="AG134" s="67"/>
    </row>
    <row r="135" spans="1:33">
      <c r="A135" s="134"/>
      <c r="B135" s="153">
        <v>11</v>
      </c>
      <c r="C135" s="121" t="s">
        <v>987</v>
      </c>
      <c r="D135" s="121" t="s">
        <v>898</v>
      </c>
      <c r="E135" s="192">
        <v>0.8</v>
      </c>
      <c r="F135" s="193">
        <v>4</v>
      </c>
      <c r="G135" s="194">
        <v>300</v>
      </c>
      <c r="H135" s="194">
        <f t="shared" si="72"/>
        <v>960</v>
      </c>
      <c r="I135" s="164">
        <f t="shared" ref="I135:K135" si="94">$H135*I$123</f>
        <v>5059200</v>
      </c>
      <c r="J135" s="164">
        <f t="shared" si="94"/>
        <v>3417600</v>
      </c>
      <c r="K135" s="164">
        <f t="shared" si="94"/>
        <v>2355840</v>
      </c>
      <c r="L135" s="111"/>
      <c r="M135" s="111"/>
      <c r="N135" s="111"/>
      <c r="O135" s="111"/>
      <c r="P135" s="111"/>
      <c r="Q135" s="111"/>
      <c r="R135" s="111"/>
      <c r="S135" s="712"/>
      <c r="T135" s="169" t="s">
        <v>946</v>
      </c>
      <c r="U135" s="169" t="s">
        <v>946</v>
      </c>
      <c r="V135" s="121" t="s">
        <v>989</v>
      </c>
      <c r="W135" s="121" t="s">
        <v>789</v>
      </c>
      <c r="X135" s="170">
        <f>G135</f>
        <v>300</v>
      </c>
      <c r="Y135" s="200">
        <f t="shared" si="75"/>
        <v>16864</v>
      </c>
      <c r="Z135" s="167">
        <f t="shared" si="76"/>
        <v>5059200</v>
      </c>
      <c r="AA135" s="164">
        <f t="shared" si="77"/>
        <v>300</v>
      </c>
      <c r="AB135" s="200">
        <f t="shared" si="78"/>
        <v>11392</v>
      </c>
      <c r="AC135" s="167">
        <f t="shared" si="79"/>
        <v>3417600</v>
      </c>
      <c r="AD135" s="164">
        <f t="shared" si="80"/>
        <v>300</v>
      </c>
      <c r="AE135" s="200">
        <f t="shared" si="81"/>
        <v>7852.8</v>
      </c>
      <c r="AF135" s="167">
        <f t="shared" si="82"/>
        <v>2355840</v>
      </c>
      <c r="AG135" s="67"/>
    </row>
    <row r="136" spans="1:33">
      <c r="A136" s="134"/>
      <c r="B136" s="153">
        <v>12</v>
      </c>
      <c r="C136" s="121" t="s">
        <v>987</v>
      </c>
      <c r="D136" s="121" t="s">
        <v>900</v>
      </c>
      <c r="E136" s="193">
        <v>0.3</v>
      </c>
      <c r="F136" s="193">
        <v>1</v>
      </c>
      <c r="G136" s="194">
        <v>200</v>
      </c>
      <c r="H136" s="194">
        <f t="shared" si="72"/>
        <v>60</v>
      </c>
      <c r="I136" s="164">
        <f t="shared" ref="I136:K136" si="95">$H136*I$123</f>
        <v>316200</v>
      </c>
      <c r="J136" s="164">
        <f t="shared" si="95"/>
        <v>213600</v>
      </c>
      <c r="K136" s="164">
        <f t="shared" si="95"/>
        <v>147240</v>
      </c>
      <c r="L136" s="111"/>
      <c r="M136" s="111"/>
      <c r="N136" s="111"/>
      <c r="O136" s="111"/>
      <c r="P136" s="111"/>
      <c r="Q136" s="111"/>
      <c r="R136" s="111"/>
      <c r="S136" s="712"/>
      <c r="T136" s="169" t="s">
        <v>946</v>
      </c>
      <c r="U136" s="169" t="s">
        <v>946</v>
      </c>
      <c r="V136" s="121" t="s">
        <v>994</v>
      </c>
      <c r="W136" s="121" t="s">
        <v>789</v>
      </c>
      <c r="X136" s="170">
        <f>$G$136</f>
        <v>200</v>
      </c>
      <c r="Y136" s="200">
        <f t="shared" si="75"/>
        <v>1581</v>
      </c>
      <c r="Z136" s="167">
        <f t="shared" si="76"/>
        <v>316200</v>
      </c>
      <c r="AA136" s="164">
        <f t="shared" si="77"/>
        <v>200</v>
      </c>
      <c r="AB136" s="200">
        <f t="shared" si="78"/>
        <v>1068</v>
      </c>
      <c r="AC136" s="167">
        <f t="shared" si="79"/>
        <v>213600</v>
      </c>
      <c r="AD136" s="164">
        <f t="shared" si="80"/>
        <v>200</v>
      </c>
      <c r="AE136" s="200">
        <f t="shared" si="81"/>
        <v>736.2</v>
      </c>
      <c r="AF136" s="167">
        <f t="shared" si="82"/>
        <v>147240</v>
      </c>
      <c r="AG136" s="67"/>
    </row>
    <row r="137" spans="1:33">
      <c r="A137" s="134"/>
      <c r="B137" s="153">
        <v>13</v>
      </c>
      <c r="C137" s="121" t="s">
        <v>992</v>
      </c>
      <c r="D137" s="121"/>
      <c r="E137" s="192">
        <v>0.1</v>
      </c>
      <c r="F137" s="193">
        <v>6</v>
      </c>
      <c r="G137" s="194">
        <v>375</v>
      </c>
      <c r="H137" s="194">
        <f t="shared" si="72"/>
        <v>225</v>
      </c>
      <c r="I137" s="164">
        <f t="shared" ref="I137:K137" si="96">$H137*I$123</f>
        <v>1185750</v>
      </c>
      <c r="J137" s="164">
        <f t="shared" si="96"/>
        <v>801000</v>
      </c>
      <c r="K137" s="164">
        <f t="shared" si="96"/>
        <v>552150</v>
      </c>
      <c r="L137" s="111"/>
      <c r="M137" s="111"/>
      <c r="N137" s="111"/>
      <c r="O137" s="111"/>
      <c r="P137" s="111"/>
      <c r="Q137" s="111"/>
      <c r="R137" s="111"/>
      <c r="S137" s="712"/>
      <c r="T137" s="169" t="s">
        <v>946</v>
      </c>
      <c r="U137" s="169" t="s">
        <v>946</v>
      </c>
      <c r="V137" s="121" t="s">
        <v>977</v>
      </c>
      <c r="W137" s="121" t="s">
        <v>961</v>
      </c>
      <c r="X137" s="170">
        <f>G133*$D$35*$D$36</f>
        <v>40346.806249999994</v>
      </c>
      <c r="Y137" s="200">
        <f t="shared" si="75"/>
        <v>29.388943269828207</v>
      </c>
      <c r="Z137" s="167">
        <f t="shared" si="76"/>
        <v>1185750</v>
      </c>
      <c r="AA137" s="164">
        <f t="shared" si="77"/>
        <v>40346.806249999994</v>
      </c>
      <c r="AB137" s="200">
        <f t="shared" si="78"/>
        <v>19.85287249347029</v>
      </c>
      <c r="AC137" s="167">
        <f t="shared" si="79"/>
        <v>801000.00000000012</v>
      </c>
      <c r="AD137" s="164">
        <f t="shared" si="80"/>
        <v>40346.806249999994</v>
      </c>
      <c r="AE137" s="200">
        <f t="shared" si="81"/>
        <v>13.685098061510137</v>
      </c>
      <c r="AF137" s="167">
        <f t="shared" si="82"/>
        <v>552150</v>
      </c>
      <c r="AG137" s="67"/>
    </row>
    <row r="138" spans="1:33">
      <c r="A138" s="134"/>
      <c r="B138" s="153">
        <v>14</v>
      </c>
      <c r="C138" s="121" t="s">
        <v>1001</v>
      </c>
      <c r="D138" s="195"/>
      <c r="E138" s="193"/>
      <c r="F138" s="193"/>
      <c r="G138" s="194"/>
      <c r="H138" s="194">
        <f>SUM(H125:H137)*10%</f>
        <v>532.54441072668658</v>
      </c>
      <c r="I138" s="164">
        <f t="shared" ref="I138:K138" si="97">$H138*I$123</f>
        <v>2806509.0445296383</v>
      </c>
      <c r="J138" s="164">
        <f t="shared" si="97"/>
        <v>1895858.1021870042</v>
      </c>
      <c r="K138" s="164">
        <f t="shared" si="97"/>
        <v>1306863.9839232888</v>
      </c>
      <c r="L138" s="111"/>
      <c r="M138" s="111"/>
      <c r="N138" s="111"/>
      <c r="O138" s="111"/>
      <c r="P138" s="111"/>
      <c r="Q138" s="111"/>
      <c r="R138" s="111"/>
      <c r="S138" s="712"/>
      <c r="T138" s="169" t="s">
        <v>946</v>
      </c>
      <c r="U138" s="169" t="s">
        <v>946</v>
      </c>
      <c r="V138" s="121" t="s">
        <v>875</v>
      </c>
      <c r="W138" s="121" t="s">
        <v>961</v>
      </c>
      <c r="X138" s="170">
        <f>'Assumptions HR_AUN'!$D$4*3</f>
        <v>88211.039066799218</v>
      </c>
      <c r="Y138" s="200">
        <f t="shared" si="75"/>
        <v>31.815848381565537</v>
      </c>
      <c r="Z138" s="167">
        <f t="shared" si="76"/>
        <v>2806509.0445296383</v>
      </c>
      <c r="AA138" s="164">
        <f t="shared" si="77"/>
        <v>88211.039066799218</v>
      </c>
      <c r="AB138" s="200">
        <f t="shared" si="78"/>
        <v>21.492299855478805</v>
      </c>
      <c r="AC138" s="167">
        <f t="shared" si="79"/>
        <v>1895858.1021870042</v>
      </c>
      <c r="AD138" s="164">
        <f t="shared" si="80"/>
        <v>88211.039066799218</v>
      </c>
      <c r="AE138" s="200">
        <f t="shared" si="81"/>
        <v>14.81519770936657</v>
      </c>
      <c r="AF138" s="167">
        <f t="shared" si="82"/>
        <v>1306863.9839232888</v>
      </c>
      <c r="AG138" s="67"/>
    </row>
    <row r="139" spans="1:33">
      <c r="A139" s="134"/>
      <c r="B139" s="153">
        <v>15</v>
      </c>
      <c r="C139" s="121" t="s">
        <v>962</v>
      </c>
      <c r="D139" s="195"/>
      <c r="E139" s="196"/>
      <c r="F139" s="197"/>
      <c r="G139" s="194"/>
      <c r="H139" s="194">
        <f>SUM(H125:H137)*15%</f>
        <v>798.8166160900297</v>
      </c>
      <c r="I139" s="164">
        <f t="shared" ref="I139:K139" si="98">$H139*I$123</f>
        <v>4209763.5667944569</v>
      </c>
      <c r="J139" s="164">
        <f t="shared" si="98"/>
        <v>2843787.1532805059</v>
      </c>
      <c r="K139" s="164">
        <f t="shared" si="98"/>
        <v>1960295.9758849328</v>
      </c>
      <c r="L139" s="111"/>
      <c r="M139" s="111"/>
      <c r="N139" s="111"/>
      <c r="O139" s="111"/>
      <c r="P139" s="111"/>
      <c r="Q139" s="111"/>
      <c r="R139" s="111"/>
      <c r="S139" s="712"/>
      <c r="T139" s="169" t="s">
        <v>946</v>
      </c>
      <c r="U139" s="169" t="s">
        <v>946</v>
      </c>
      <c r="V139" s="121" t="s">
        <v>881</v>
      </c>
      <c r="W139" s="121" t="s">
        <v>964</v>
      </c>
      <c r="X139" s="170">
        <f>I139/4</f>
        <v>1052440.8916986142</v>
      </c>
      <c r="Y139" s="200">
        <v>4</v>
      </c>
      <c r="Z139" s="167">
        <f t="shared" si="76"/>
        <v>4209763.5667944569</v>
      </c>
      <c r="AA139" s="164">
        <f>J139/4</f>
        <v>710946.78832012648</v>
      </c>
      <c r="AB139" s="200">
        <v>4</v>
      </c>
      <c r="AC139" s="167">
        <f t="shared" si="79"/>
        <v>2843787.1532805059</v>
      </c>
      <c r="AD139" s="164">
        <f>K139/4</f>
        <v>490073.9939712332</v>
      </c>
      <c r="AE139" s="200">
        <f t="shared" si="81"/>
        <v>4</v>
      </c>
      <c r="AF139" s="167">
        <f t="shared" si="82"/>
        <v>1960295.9758849328</v>
      </c>
      <c r="AG139" s="67"/>
    </row>
    <row r="140" spans="1:33">
      <c r="A140" s="134"/>
      <c r="B140" s="186" t="s">
        <v>770</v>
      </c>
      <c r="C140" s="187"/>
      <c r="D140" s="198"/>
      <c r="E140" s="187"/>
      <c r="F140" s="199"/>
      <c r="G140" s="188"/>
      <c r="H140" s="178">
        <f t="shared" ref="H140:K140" si="99">SUM(H125:H139)</f>
        <v>6656.8051340835818</v>
      </c>
      <c r="I140" s="178">
        <f t="shared" si="99"/>
        <v>35081363.056620479</v>
      </c>
      <c r="J140" s="178">
        <f t="shared" si="99"/>
        <v>23698226.277337551</v>
      </c>
      <c r="K140" s="178">
        <f t="shared" si="99"/>
        <v>16335799.799041107</v>
      </c>
      <c r="L140" s="132"/>
      <c r="M140" s="111"/>
      <c r="N140" s="111"/>
      <c r="O140" s="111"/>
      <c r="P140" s="111"/>
      <c r="Q140" s="111"/>
      <c r="R140" s="111"/>
      <c r="S140" s="712"/>
      <c r="T140" s="111"/>
      <c r="U140" s="111"/>
      <c r="V140" s="111"/>
      <c r="W140" s="111"/>
      <c r="X140" s="132"/>
      <c r="Y140" s="133"/>
      <c r="Z140" s="132"/>
      <c r="AA140" s="132"/>
      <c r="AB140" s="133"/>
      <c r="AC140" s="132"/>
      <c r="AD140" s="132"/>
      <c r="AE140" s="133"/>
      <c r="AF140" s="132"/>
      <c r="AG140" s="67"/>
    </row>
    <row r="141" spans="1:33">
      <c r="A141" s="9"/>
      <c r="B141" s="111"/>
      <c r="C141" s="111"/>
      <c r="D141" s="111"/>
      <c r="E141" s="111"/>
      <c r="F141" s="132"/>
      <c r="G141" s="111"/>
      <c r="H141" s="132"/>
      <c r="I141" s="132"/>
      <c r="J141" s="132"/>
      <c r="K141" s="132"/>
      <c r="L141" s="132"/>
      <c r="M141" s="111"/>
      <c r="N141" s="111"/>
      <c r="O141" s="111"/>
      <c r="P141" s="111"/>
      <c r="Q141" s="111"/>
      <c r="R141" s="111"/>
      <c r="S141" s="712"/>
      <c r="T141" s="111"/>
      <c r="U141" s="111"/>
      <c r="V141" s="111"/>
      <c r="W141" s="111"/>
      <c r="X141" s="132"/>
      <c r="Y141" s="133"/>
      <c r="Z141" s="132"/>
      <c r="AA141" s="132"/>
      <c r="AB141" s="133"/>
      <c r="AC141" s="132"/>
      <c r="AD141" s="132"/>
      <c r="AE141" s="133"/>
      <c r="AF141" s="132"/>
      <c r="AG141" s="67"/>
    </row>
    <row r="142" spans="1:33">
      <c r="A142" s="9"/>
      <c r="B142" s="111"/>
      <c r="C142" s="111"/>
      <c r="D142" s="111"/>
      <c r="E142" s="111"/>
      <c r="F142" s="132"/>
      <c r="G142" s="111"/>
      <c r="H142" s="111"/>
      <c r="I142" s="132"/>
      <c r="J142" s="111"/>
      <c r="K142" s="111"/>
      <c r="L142" s="111"/>
      <c r="M142" s="111"/>
      <c r="N142" s="111"/>
      <c r="O142" s="111"/>
      <c r="P142" s="111"/>
      <c r="Q142" s="111"/>
      <c r="R142" s="111"/>
      <c r="S142" s="712"/>
      <c r="T142" s="111"/>
      <c r="U142" s="111"/>
      <c r="V142" s="111"/>
      <c r="W142" s="111"/>
      <c r="X142" s="132"/>
      <c r="Y142" s="133"/>
      <c r="Z142" s="132"/>
      <c r="AA142" s="132"/>
      <c r="AB142" s="133"/>
      <c r="AC142" s="132"/>
      <c r="AD142" s="132"/>
      <c r="AE142" s="133"/>
      <c r="AF142" s="132"/>
      <c r="AG142" s="67"/>
    </row>
    <row r="143" spans="1:33">
      <c r="A143" s="9"/>
      <c r="B143" s="111"/>
      <c r="C143" s="111"/>
      <c r="D143" s="111"/>
      <c r="E143" s="111"/>
      <c r="F143" s="132"/>
      <c r="G143" s="111"/>
      <c r="H143" s="111"/>
      <c r="I143" s="132"/>
      <c r="J143" s="111"/>
      <c r="K143" s="111"/>
      <c r="L143" s="111"/>
      <c r="M143" s="111"/>
      <c r="N143" s="111"/>
      <c r="O143" s="111"/>
      <c r="P143" s="111"/>
      <c r="Q143" s="111"/>
      <c r="R143" s="111"/>
      <c r="S143" s="712"/>
      <c r="T143" s="111"/>
      <c r="U143" s="111"/>
      <c r="V143" s="111"/>
      <c r="W143" s="111"/>
      <c r="X143" s="132"/>
      <c r="Y143" s="133"/>
      <c r="Z143" s="132"/>
      <c r="AA143" s="132"/>
      <c r="AB143" s="133"/>
      <c r="AC143" s="132"/>
      <c r="AD143" s="132"/>
      <c r="AE143" s="133"/>
      <c r="AF143" s="132"/>
      <c r="AG143" s="67"/>
    </row>
    <row r="144" spans="1:33">
      <c r="A144" s="725">
        <v>5</v>
      </c>
      <c r="B144" s="922" t="s">
        <v>1016</v>
      </c>
      <c r="C144" s="898"/>
      <c r="D144" s="898"/>
      <c r="E144" s="898"/>
      <c r="F144" s="898"/>
      <c r="G144" s="898"/>
      <c r="H144" s="898"/>
      <c r="I144" s="132"/>
      <c r="J144" s="111"/>
      <c r="K144" s="111"/>
      <c r="L144" s="111"/>
      <c r="M144" s="111"/>
      <c r="N144" s="111"/>
      <c r="O144" s="111"/>
      <c r="P144" s="111"/>
      <c r="Q144" s="111"/>
      <c r="R144" s="111"/>
      <c r="S144" s="712"/>
      <c r="T144" s="111"/>
      <c r="U144" s="111"/>
      <c r="V144" s="111"/>
      <c r="W144" s="111"/>
      <c r="X144" s="132"/>
      <c r="Y144" s="133"/>
      <c r="Z144" s="132"/>
      <c r="AA144" s="132"/>
      <c r="AB144" s="133"/>
      <c r="AC144" s="132"/>
      <c r="AD144" s="132"/>
      <c r="AE144" s="133"/>
      <c r="AF144" s="132"/>
      <c r="AG144" s="67"/>
    </row>
    <row r="145" spans="1:33">
      <c r="A145" s="134"/>
      <c r="B145" s="143" t="s">
        <v>755</v>
      </c>
      <c r="C145" s="143" t="s">
        <v>756</v>
      </c>
      <c r="D145" s="143" t="s">
        <v>1017</v>
      </c>
      <c r="E145" s="143" t="s">
        <v>765</v>
      </c>
      <c r="F145" s="143" t="s">
        <v>1018</v>
      </c>
      <c r="G145" s="113" t="s">
        <v>1019</v>
      </c>
      <c r="H145" s="143" t="s">
        <v>933</v>
      </c>
      <c r="I145" s="132"/>
      <c r="J145" s="111"/>
      <c r="K145" s="111"/>
      <c r="L145" s="111"/>
      <c r="M145" s="111"/>
      <c r="N145" s="111"/>
      <c r="O145" s="111"/>
      <c r="P145" s="111"/>
      <c r="Q145" s="111"/>
      <c r="R145" s="111"/>
      <c r="S145" s="712"/>
      <c r="T145" s="111"/>
      <c r="U145" s="111"/>
      <c r="V145" s="111"/>
      <c r="W145" s="111"/>
      <c r="X145" s="132"/>
      <c r="Y145" s="133"/>
      <c r="Z145" s="132"/>
      <c r="AA145" s="132"/>
      <c r="AB145" s="133"/>
      <c r="AC145" s="132"/>
      <c r="AD145" s="132"/>
      <c r="AE145" s="133"/>
      <c r="AF145" s="132"/>
      <c r="AG145" s="67"/>
    </row>
    <row r="146" spans="1:33">
      <c r="A146" s="134"/>
      <c r="B146" s="153">
        <v>1</v>
      </c>
      <c r="C146" s="202" t="s">
        <v>1020</v>
      </c>
      <c r="D146" s="144">
        <f>2080*1.05</f>
        <v>2184</v>
      </c>
      <c r="E146" s="153">
        <v>1</v>
      </c>
      <c r="F146" s="153">
        <v>1</v>
      </c>
      <c r="G146" s="153">
        <v>20</v>
      </c>
      <c r="H146" s="167">
        <f>D146*E146*F146*G146</f>
        <v>43680</v>
      </c>
      <c r="I146" s="132"/>
      <c r="J146" s="111"/>
      <c r="K146" s="111"/>
      <c r="L146" s="111"/>
      <c r="M146" s="111"/>
      <c r="N146" s="111"/>
      <c r="O146" s="111"/>
      <c r="P146" s="111"/>
      <c r="Q146" s="111"/>
      <c r="R146" s="111"/>
      <c r="S146" s="712"/>
      <c r="T146" s="111"/>
      <c r="U146" s="111"/>
      <c r="V146" s="111"/>
      <c r="W146" s="111"/>
      <c r="X146" s="132"/>
      <c r="Y146" s="133"/>
      <c r="Z146" s="132"/>
      <c r="AA146" s="132"/>
      <c r="AB146" s="133"/>
      <c r="AC146" s="132"/>
      <c r="AD146" s="132"/>
      <c r="AE146" s="133"/>
      <c r="AF146" s="132"/>
      <c r="AG146" s="67"/>
    </row>
    <row r="147" spans="1:33">
      <c r="A147" s="134"/>
      <c r="B147" s="153">
        <v>2</v>
      </c>
      <c r="C147" s="202" t="s">
        <v>1021</v>
      </c>
      <c r="D147" s="144">
        <v>13500</v>
      </c>
      <c r="E147" s="153">
        <v>1</v>
      </c>
      <c r="F147" s="153">
        <v>4</v>
      </c>
      <c r="G147" s="153"/>
      <c r="H147" s="167">
        <f t="shared" ref="H147:H148" si="100">D147*E147*F147</f>
        <v>54000</v>
      </c>
      <c r="I147" s="132"/>
      <c r="J147" s="111"/>
      <c r="K147" s="111"/>
      <c r="L147" s="111"/>
      <c r="M147" s="111"/>
      <c r="N147" s="111"/>
      <c r="O147" s="111"/>
      <c r="P147" s="111"/>
      <c r="Q147" s="111"/>
      <c r="R147" s="111"/>
      <c r="S147" s="712"/>
      <c r="T147" s="111"/>
      <c r="U147" s="111"/>
      <c r="V147" s="111"/>
      <c r="W147" s="111"/>
      <c r="X147" s="132"/>
      <c r="Y147" s="133"/>
      <c r="Z147" s="132"/>
      <c r="AA147" s="132"/>
      <c r="AB147" s="133"/>
      <c r="AC147" s="132"/>
      <c r="AD147" s="132"/>
      <c r="AE147" s="133"/>
      <c r="AF147" s="132"/>
      <c r="AG147" s="67"/>
    </row>
    <row r="148" spans="1:33">
      <c r="A148" s="134"/>
      <c r="B148" s="153">
        <v>3</v>
      </c>
      <c r="C148" s="202" t="s">
        <v>1022</v>
      </c>
      <c r="D148" s="144">
        <v>8100</v>
      </c>
      <c r="E148" s="153">
        <v>6</v>
      </c>
      <c r="F148" s="153">
        <v>1</v>
      </c>
      <c r="G148" s="153">
        <v>5</v>
      </c>
      <c r="H148" s="167">
        <f t="shared" si="100"/>
        <v>48600</v>
      </c>
      <c r="I148" s="132"/>
      <c r="J148" s="111"/>
      <c r="K148" s="111"/>
      <c r="L148" s="111"/>
      <c r="M148" s="111"/>
      <c r="N148" s="111"/>
      <c r="O148" s="111"/>
      <c r="P148" s="111"/>
      <c r="Q148" s="111"/>
      <c r="R148" s="111"/>
      <c r="S148" s="712"/>
      <c r="T148" s="111"/>
      <c r="U148" s="111"/>
      <c r="V148" s="111"/>
      <c r="W148" s="111"/>
      <c r="X148" s="132"/>
      <c r="Y148" s="133"/>
      <c r="Z148" s="132"/>
      <c r="AA148" s="132"/>
      <c r="AB148" s="133"/>
      <c r="AC148" s="132"/>
      <c r="AD148" s="132"/>
      <c r="AE148" s="133"/>
      <c r="AF148" s="132"/>
      <c r="AG148" s="67"/>
    </row>
    <row r="149" spans="1:33">
      <c r="A149" s="134"/>
      <c r="B149" s="153">
        <v>4</v>
      </c>
      <c r="C149" s="202" t="s">
        <v>1023</v>
      </c>
      <c r="D149" s="144">
        <v>10800</v>
      </c>
      <c r="E149" s="153"/>
      <c r="F149" s="153"/>
      <c r="G149" s="153">
        <v>12</v>
      </c>
      <c r="H149" s="167">
        <f t="shared" ref="H149:H151" si="101">D149*G149</f>
        <v>129600</v>
      </c>
      <c r="I149" s="132"/>
      <c r="J149" s="111"/>
      <c r="K149" s="111"/>
      <c r="L149" s="111"/>
      <c r="M149" s="111"/>
      <c r="N149" s="111"/>
      <c r="O149" s="111"/>
      <c r="P149" s="111"/>
      <c r="Q149" s="111"/>
      <c r="R149" s="111"/>
      <c r="S149" s="712"/>
      <c r="T149" s="111"/>
      <c r="U149" s="111"/>
      <c r="V149" s="111"/>
      <c r="W149" s="111"/>
      <c r="X149" s="132"/>
      <c r="Y149" s="133"/>
      <c r="Z149" s="132"/>
      <c r="AA149" s="132"/>
      <c r="AB149" s="133"/>
      <c r="AC149" s="132"/>
      <c r="AD149" s="132"/>
      <c r="AE149" s="133"/>
      <c r="AF149" s="132"/>
      <c r="AG149" s="67"/>
    </row>
    <row r="150" spans="1:33">
      <c r="A150" s="134"/>
      <c r="B150" s="153">
        <v>5</v>
      </c>
      <c r="C150" s="202" t="s">
        <v>1024</v>
      </c>
      <c r="D150" s="144">
        <v>13500</v>
      </c>
      <c r="E150" s="153"/>
      <c r="F150" s="153"/>
      <c r="G150" s="153">
        <v>12</v>
      </c>
      <c r="H150" s="167">
        <f t="shared" si="101"/>
        <v>162000</v>
      </c>
      <c r="I150" s="132"/>
      <c r="J150" s="111"/>
      <c r="K150" s="111"/>
      <c r="L150" s="111"/>
      <c r="M150" s="111"/>
      <c r="N150" s="111"/>
      <c r="O150" s="111"/>
      <c r="P150" s="111"/>
      <c r="Q150" s="111"/>
      <c r="R150" s="111"/>
      <c r="S150" s="712"/>
      <c r="T150" s="111"/>
      <c r="U150" s="111"/>
      <c r="V150" s="111"/>
      <c r="W150" s="111"/>
      <c r="X150" s="132"/>
      <c r="Y150" s="133"/>
      <c r="Z150" s="132"/>
      <c r="AA150" s="132"/>
      <c r="AB150" s="133"/>
      <c r="AC150" s="132"/>
      <c r="AD150" s="132"/>
      <c r="AE150" s="133"/>
      <c r="AF150" s="132"/>
      <c r="AG150" s="67"/>
    </row>
    <row r="151" spans="1:33">
      <c r="A151" s="134"/>
      <c r="B151" s="153">
        <v>6</v>
      </c>
      <c r="C151" s="202" t="s">
        <v>1025</v>
      </c>
      <c r="D151" s="144">
        <v>5940</v>
      </c>
      <c r="E151" s="153">
        <v>2</v>
      </c>
      <c r="F151" s="153"/>
      <c r="G151" s="153">
        <v>12</v>
      </c>
      <c r="H151" s="167">
        <f t="shared" si="101"/>
        <v>71280</v>
      </c>
      <c r="I151" s="132"/>
      <c r="J151" s="111"/>
      <c r="K151" s="111"/>
      <c r="L151" s="111"/>
      <c r="M151" s="111"/>
      <c r="N151" s="111"/>
      <c r="O151" s="111"/>
      <c r="P151" s="111"/>
      <c r="Q151" s="111"/>
      <c r="R151" s="111"/>
      <c r="S151" s="712"/>
      <c r="T151" s="111"/>
      <c r="U151" s="111"/>
      <c r="V151" s="111"/>
      <c r="W151" s="111"/>
      <c r="X151" s="132"/>
      <c r="Y151" s="133"/>
      <c r="Z151" s="132"/>
      <c r="AA151" s="132"/>
      <c r="AB151" s="133"/>
      <c r="AC151" s="132"/>
      <c r="AD151" s="132"/>
      <c r="AE151" s="133"/>
      <c r="AF151" s="132"/>
      <c r="AG151" s="67"/>
    </row>
    <row r="152" spans="1:33">
      <c r="A152" s="134"/>
      <c r="B152" s="153">
        <v>7</v>
      </c>
      <c r="C152" s="202" t="s">
        <v>1026</v>
      </c>
      <c r="D152" s="144">
        <v>2700</v>
      </c>
      <c r="E152" s="153"/>
      <c r="F152" s="153">
        <v>1</v>
      </c>
      <c r="G152" s="153"/>
      <c r="H152" s="167">
        <f t="shared" ref="H152:H154" si="102">D152*F152</f>
        <v>2700</v>
      </c>
      <c r="I152" s="132"/>
      <c r="J152" s="111"/>
      <c r="K152" s="111"/>
      <c r="L152" s="111"/>
      <c r="M152" s="111"/>
      <c r="N152" s="111"/>
      <c r="O152" s="111"/>
      <c r="P152" s="111"/>
      <c r="Q152" s="111"/>
      <c r="R152" s="111"/>
      <c r="S152" s="712"/>
      <c r="T152" s="111"/>
      <c r="U152" s="111"/>
      <c r="V152" s="111"/>
      <c r="W152" s="111"/>
      <c r="X152" s="132"/>
      <c r="Y152" s="133"/>
      <c r="Z152" s="132"/>
      <c r="AA152" s="132"/>
      <c r="AB152" s="133"/>
      <c r="AC152" s="132"/>
      <c r="AD152" s="132"/>
      <c r="AE152" s="133"/>
      <c r="AF152" s="132"/>
      <c r="AG152" s="67"/>
    </row>
    <row r="153" spans="1:33">
      <c r="A153" s="134"/>
      <c r="B153" s="153">
        <v>8</v>
      </c>
      <c r="C153" s="202" t="s">
        <v>1027</v>
      </c>
      <c r="D153" s="144">
        <v>2700</v>
      </c>
      <c r="E153" s="153"/>
      <c r="F153" s="153">
        <v>4</v>
      </c>
      <c r="G153" s="153"/>
      <c r="H153" s="167">
        <f t="shared" si="102"/>
        <v>10800</v>
      </c>
      <c r="I153" s="132"/>
      <c r="J153" s="111"/>
      <c r="K153" s="111"/>
      <c r="L153" s="111"/>
      <c r="M153" s="111"/>
      <c r="N153" s="111"/>
      <c r="O153" s="111"/>
      <c r="P153" s="111"/>
      <c r="Q153" s="111"/>
      <c r="R153" s="111"/>
      <c r="S153" s="712"/>
      <c r="T153" s="111"/>
      <c r="U153" s="111"/>
      <c r="V153" s="111"/>
      <c r="W153" s="111"/>
      <c r="X153" s="132"/>
      <c r="Y153" s="133"/>
      <c r="Z153" s="132"/>
      <c r="AA153" s="132"/>
      <c r="AB153" s="133"/>
      <c r="AC153" s="132"/>
      <c r="AD153" s="132"/>
      <c r="AE153" s="133"/>
      <c r="AF153" s="132"/>
      <c r="AG153" s="67"/>
    </row>
    <row r="154" spans="1:33">
      <c r="A154" s="134"/>
      <c r="B154" s="153">
        <v>9</v>
      </c>
      <c r="C154" s="202" t="s">
        <v>1028</v>
      </c>
      <c r="D154" s="144">
        <v>2700</v>
      </c>
      <c r="E154" s="153"/>
      <c r="F154" s="153">
        <v>4</v>
      </c>
      <c r="G154" s="153"/>
      <c r="H154" s="167">
        <f t="shared" si="102"/>
        <v>10800</v>
      </c>
      <c r="I154" s="132"/>
      <c r="J154" s="111"/>
      <c r="K154" s="111"/>
      <c r="L154" s="111"/>
      <c r="M154" s="111"/>
      <c r="N154" s="111"/>
      <c r="O154" s="111"/>
      <c r="P154" s="111"/>
      <c r="Q154" s="111"/>
      <c r="R154" s="111"/>
      <c r="S154" s="712"/>
      <c r="T154" s="111"/>
      <c r="U154" s="111"/>
      <c r="V154" s="111"/>
      <c r="W154" s="111"/>
      <c r="X154" s="132"/>
      <c r="Y154" s="133"/>
      <c r="Z154" s="132"/>
      <c r="AA154" s="132"/>
      <c r="AB154" s="133"/>
      <c r="AC154" s="132"/>
      <c r="AD154" s="132"/>
      <c r="AE154" s="133"/>
      <c r="AF154" s="132"/>
      <c r="AG154" s="67"/>
    </row>
    <row r="155" spans="1:33">
      <c r="A155" s="134"/>
      <c r="B155" s="153">
        <v>10</v>
      </c>
      <c r="C155" s="202" t="s">
        <v>1029</v>
      </c>
      <c r="D155" s="144">
        <f>2080*1.05</f>
        <v>2184</v>
      </c>
      <c r="E155" s="153">
        <v>1</v>
      </c>
      <c r="F155" s="153">
        <v>1</v>
      </c>
      <c r="G155" s="153">
        <v>20</v>
      </c>
      <c r="H155" s="167">
        <f>D155*F155*G155</f>
        <v>43680</v>
      </c>
      <c r="I155" s="132"/>
      <c r="J155" s="111"/>
      <c r="K155" s="111"/>
      <c r="L155" s="111"/>
      <c r="M155" s="111"/>
      <c r="N155" s="111"/>
      <c r="O155" s="111"/>
      <c r="P155" s="111"/>
      <c r="Q155" s="111"/>
      <c r="R155" s="111"/>
      <c r="S155" s="712"/>
      <c r="T155" s="111"/>
      <c r="U155" s="111"/>
      <c r="V155" s="111"/>
      <c r="W155" s="111"/>
      <c r="X155" s="132"/>
      <c r="Y155" s="133"/>
      <c r="Z155" s="132"/>
      <c r="AA155" s="132"/>
      <c r="AB155" s="133"/>
      <c r="AC155" s="132"/>
      <c r="AD155" s="132"/>
      <c r="AE155" s="133"/>
      <c r="AF155" s="132"/>
      <c r="AG155" s="67"/>
    </row>
    <row r="156" spans="1:33">
      <c r="A156" s="134"/>
      <c r="B156" s="153">
        <v>11</v>
      </c>
      <c r="C156" s="202" t="s">
        <v>1030</v>
      </c>
      <c r="D156" s="144">
        <v>52.92</v>
      </c>
      <c r="E156" s="153"/>
      <c r="F156" s="153"/>
      <c r="G156" s="153">
        <v>300</v>
      </c>
      <c r="H156" s="167">
        <f>G156*D156</f>
        <v>15876</v>
      </c>
      <c r="I156" s="132"/>
      <c r="J156" s="111"/>
      <c r="K156" s="111"/>
      <c r="L156" s="111"/>
      <c r="M156" s="111"/>
      <c r="N156" s="111"/>
      <c r="O156" s="111"/>
      <c r="P156" s="111"/>
      <c r="Q156" s="111"/>
      <c r="R156" s="111"/>
      <c r="S156" s="712"/>
      <c r="T156" s="111"/>
      <c r="U156" s="111"/>
      <c r="V156" s="111"/>
      <c r="W156" s="111"/>
      <c r="X156" s="132"/>
      <c r="Y156" s="133"/>
      <c r="Z156" s="132"/>
      <c r="AA156" s="132"/>
      <c r="AB156" s="133"/>
      <c r="AC156" s="132"/>
      <c r="AD156" s="132"/>
      <c r="AE156" s="133"/>
      <c r="AF156" s="132"/>
      <c r="AG156" s="67"/>
    </row>
    <row r="157" spans="1:33">
      <c r="A157" s="134"/>
      <c r="B157" s="905" t="s">
        <v>770</v>
      </c>
      <c r="C157" s="895"/>
      <c r="D157" s="895"/>
      <c r="E157" s="895"/>
      <c r="F157" s="895"/>
      <c r="G157" s="896"/>
      <c r="H157" s="178">
        <f>SUM(H146:H156)</f>
        <v>593016</v>
      </c>
      <c r="I157" s="132"/>
      <c r="J157" s="111"/>
      <c r="K157" s="111"/>
      <c r="L157" s="111"/>
      <c r="M157" s="111"/>
      <c r="N157" s="111"/>
      <c r="O157" s="111"/>
      <c r="P157" s="111"/>
      <c r="Q157" s="111"/>
      <c r="R157" s="111"/>
      <c r="S157" s="712"/>
      <c r="T157" s="111"/>
      <c r="U157" s="111"/>
      <c r="V157" s="111"/>
      <c r="W157" s="111"/>
      <c r="X157" s="132"/>
      <c r="Y157" s="133"/>
      <c r="Z157" s="132"/>
      <c r="AA157" s="132"/>
      <c r="AB157" s="133"/>
      <c r="AC157" s="132"/>
      <c r="AD157" s="132"/>
      <c r="AE157" s="133"/>
      <c r="AF157" s="132"/>
      <c r="AG157" s="67"/>
    </row>
    <row r="158" spans="1:33">
      <c r="A158" s="9"/>
      <c r="B158" s="203"/>
      <c r="C158" s="203"/>
      <c r="D158" s="203"/>
      <c r="E158" s="203"/>
      <c r="F158" s="203"/>
      <c r="G158" s="204" t="s">
        <v>791</v>
      </c>
      <c r="H158" s="205">
        <f>SUM(H146:H156)/(E148*F153)/21</f>
        <v>1176.6190476190477</v>
      </c>
      <c r="I158" s="151"/>
      <c r="J158" s="111"/>
      <c r="K158" s="111"/>
      <c r="L158" s="111"/>
      <c r="M158" s="111"/>
      <c r="N158" s="111"/>
      <c r="O158" s="111"/>
      <c r="P158" s="111"/>
      <c r="Q158" s="111"/>
      <c r="R158" s="111"/>
      <c r="S158" s="712"/>
      <c r="T158" s="111"/>
      <c r="U158" s="111"/>
      <c r="V158" s="111"/>
      <c r="W158" s="111"/>
      <c r="X158" s="132"/>
      <c r="Y158" s="133"/>
      <c r="Z158" s="132"/>
      <c r="AA158" s="132"/>
      <c r="AB158" s="133"/>
      <c r="AC158" s="132"/>
      <c r="AD158" s="132"/>
      <c r="AE158" s="133"/>
      <c r="AF158" s="132"/>
      <c r="AG158" s="67"/>
    </row>
    <row r="159" spans="1:33">
      <c r="A159" s="9"/>
      <c r="B159" s="203"/>
      <c r="C159" s="203"/>
      <c r="D159" s="203"/>
      <c r="E159" s="203"/>
      <c r="F159" s="203"/>
      <c r="G159" s="206" t="s">
        <v>792</v>
      </c>
      <c r="H159" s="730">
        <f>H157/H158</f>
        <v>503.99999999999994</v>
      </c>
      <c r="I159" s="111"/>
      <c r="J159" s="111"/>
      <c r="K159" s="111"/>
      <c r="L159" s="111"/>
      <c r="M159" s="111"/>
      <c r="N159" s="111"/>
      <c r="O159" s="111"/>
      <c r="P159" s="111"/>
      <c r="Q159" s="111"/>
      <c r="R159" s="111"/>
      <c r="S159" s="712"/>
      <c r="T159" s="111"/>
      <c r="U159" s="111"/>
      <c r="V159" s="111"/>
      <c r="W159" s="111"/>
      <c r="X159" s="132"/>
      <c r="Y159" s="133"/>
      <c r="Z159" s="132"/>
      <c r="AA159" s="132"/>
      <c r="AB159" s="133"/>
      <c r="AC159" s="132"/>
      <c r="AD159" s="132"/>
      <c r="AE159" s="133"/>
      <c r="AF159" s="132"/>
      <c r="AG159" s="67"/>
    </row>
    <row r="160" spans="1:33">
      <c r="A160" s="9"/>
      <c r="B160" s="203"/>
      <c r="C160" s="203"/>
      <c r="D160" s="203"/>
      <c r="E160" s="203"/>
      <c r="F160" s="203"/>
      <c r="G160" s="182"/>
      <c r="H160" s="207"/>
      <c r="I160" s="111"/>
      <c r="J160" s="111"/>
      <c r="K160" s="111"/>
      <c r="L160" s="111"/>
      <c r="M160" s="111"/>
      <c r="N160" s="111"/>
      <c r="O160" s="111"/>
      <c r="P160" s="111"/>
      <c r="Q160" s="111"/>
      <c r="R160" s="111"/>
      <c r="S160" s="712"/>
      <c r="T160" s="111"/>
      <c r="U160" s="111"/>
      <c r="V160" s="111"/>
      <c r="W160" s="111"/>
      <c r="X160" s="132"/>
      <c r="Y160" s="133"/>
      <c r="Z160" s="132"/>
      <c r="AA160" s="132"/>
      <c r="AB160" s="133"/>
      <c r="AC160" s="132"/>
      <c r="AD160" s="132"/>
      <c r="AE160" s="133"/>
      <c r="AF160" s="132"/>
      <c r="AG160" s="67"/>
    </row>
    <row r="161" spans="1:33">
      <c r="A161" s="9"/>
      <c r="B161" s="208"/>
      <c r="C161" s="111"/>
      <c r="D161" s="111"/>
      <c r="E161" s="111"/>
      <c r="F161" s="111"/>
      <c r="G161" s="111"/>
      <c r="H161" s="111"/>
      <c r="I161" s="67"/>
      <c r="J161" s="67"/>
      <c r="K161" s="67"/>
      <c r="L161" s="111"/>
      <c r="M161" s="111"/>
      <c r="N161" s="111"/>
      <c r="O161" s="111"/>
      <c r="P161" s="111"/>
      <c r="Q161" s="111"/>
      <c r="R161" s="111"/>
      <c r="S161" s="712"/>
      <c r="T161" s="111"/>
      <c r="U161" s="111"/>
      <c r="V161" s="111"/>
      <c r="W161" s="111"/>
      <c r="X161" s="132"/>
      <c r="Y161" s="133"/>
      <c r="Z161" s="132"/>
      <c r="AA161" s="132"/>
      <c r="AB161" s="133"/>
      <c r="AC161" s="132"/>
      <c r="AD161" s="132"/>
      <c r="AE161" s="133"/>
      <c r="AF161" s="132"/>
      <c r="AG161" s="67"/>
    </row>
    <row r="162" spans="1:33">
      <c r="A162" s="9"/>
      <c r="B162" s="111"/>
      <c r="C162" s="111"/>
      <c r="D162" s="111"/>
      <c r="E162" s="111"/>
      <c r="F162" s="111"/>
      <c r="G162" s="111"/>
      <c r="H162" s="111"/>
      <c r="I162" s="67"/>
      <c r="J162" s="67"/>
      <c r="K162" s="67"/>
      <c r="L162" s="111"/>
      <c r="M162" s="111"/>
      <c r="N162" s="111"/>
      <c r="O162" s="111"/>
      <c r="P162" s="111"/>
      <c r="Q162" s="111"/>
      <c r="R162" s="111"/>
      <c r="S162" s="712"/>
      <c r="T162" s="111"/>
      <c r="U162" s="111"/>
      <c r="V162" s="111"/>
      <c r="W162" s="111"/>
      <c r="X162" s="132"/>
      <c r="Y162" s="133"/>
      <c r="Z162" s="132"/>
      <c r="AA162" s="132"/>
      <c r="AB162" s="133"/>
      <c r="AC162" s="132"/>
      <c r="AD162" s="132"/>
      <c r="AE162" s="133"/>
      <c r="AF162" s="132"/>
      <c r="AG162" s="67"/>
    </row>
    <row r="163" spans="1:33">
      <c r="A163" s="725">
        <v>6</v>
      </c>
      <c r="B163" s="726" t="s">
        <v>1031</v>
      </c>
      <c r="C163" s="731"/>
      <c r="D163" s="731"/>
      <c r="E163" s="731"/>
      <c r="F163" s="731"/>
      <c r="G163" s="731"/>
      <c r="H163" s="731"/>
      <c r="I163" s="181">
        <v>150</v>
      </c>
      <c r="J163" s="181">
        <v>105</v>
      </c>
      <c r="K163" s="181">
        <v>75</v>
      </c>
      <c r="L163" s="111"/>
      <c r="M163" s="111"/>
      <c r="N163" s="111"/>
      <c r="O163" s="111"/>
      <c r="P163" s="111"/>
      <c r="Q163" s="111"/>
      <c r="R163" s="111"/>
      <c r="S163" s="712"/>
      <c r="T163" s="111"/>
      <c r="U163" s="111"/>
      <c r="V163" s="111"/>
      <c r="W163" s="111"/>
      <c r="X163" s="132"/>
      <c r="Y163" s="133"/>
      <c r="Z163" s="132"/>
      <c r="AA163" s="132"/>
      <c r="AB163" s="133"/>
      <c r="AC163" s="132"/>
      <c r="AD163" s="132"/>
      <c r="AE163" s="133"/>
      <c r="AF163" s="132"/>
      <c r="AG163" s="67"/>
    </row>
    <row r="164" spans="1:33">
      <c r="A164" s="134" t="s">
        <v>58</v>
      </c>
      <c r="B164" s="143" t="s">
        <v>755</v>
      </c>
      <c r="C164" s="143" t="s">
        <v>966</v>
      </c>
      <c r="D164" s="143" t="s">
        <v>967</v>
      </c>
      <c r="E164" s="143" t="s">
        <v>968</v>
      </c>
      <c r="F164" s="143" t="s">
        <v>969</v>
      </c>
      <c r="G164" s="143" t="s">
        <v>970</v>
      </c>
      <c r="H164" s="143" t="s">
        <v>971</v>
      </c>
      <c r="I164" s="113" t="s">
        <v>972</v>
      </c>
      <c r="J164" s="113" t="s">
        <v>973</v>
      </c>
      <c r="K164" s="113" t="s">
        <v>974</v>
      </c>
      <c r="L164" s="111"/>
      <c r="M164" s="111"/>
      <c r="N164" s="111"/>
      <c r="O164" s="111"/>
      <c r="P164" s="111"/>
      <c r="Q164" s="111"/>
      <c r="R164" s="111"/>
      <c r="S164" s="712"/>
      <c r="T164" s="159" t="s">
        <v>387</v>
      </c>
      <c r="U164" s="159" t="s">
        <v>388</v>
      </c>
      <c r="V164" s="159" t="s">
        <v>934</v>
      </c>
      <c r="W164" s="160" t="s">
        <v>935</v>
      </c>
      <c r="X164" s="161" t="s">
        <v>936</v>
      </c>
      <c r="Y164" s="162" t="s">
        <v>937</v>
      </c>
      <c r="Z164" s="161" t="s">
        <v>938</v>
      </c>
      <c r="AA164" s="161" t="s">
        <v>939</v>
      </c>
      <c r="AB164" s="162" t="s">
        <v>940</v>
      </c>
      <c r="AC164" s="161" t="s">
        <v>941</v>
      </c>
      <c r="AD164" s="161" t="s">
        <v>942</v>
      </c>
      <c r="AE164" s="162" t="s">
        <v>943</v>
      </c>
      <c r="AF164" s="161" t="s">
        <v>944</v>
      </c>
      <c r="AG164" s="67"/>
    </row>
    <row r="165" spans="1:33">
      <c r="A165" s="134"/>
      <c r="B165" s="153">
        <v>1</v>
      </c>
      <c r="C165" s="202" t="s">
        <v>975</v>
      </c>
      <c r="D165" s="121" t="s">
        <v>1032</v>
      </c>
      <c r="E165" s="209">
        <v>1</v>
      </c>
      <c r="F165" s="164">
        <v>1</v>
      </c>
      <c r="G165" s="164">
        <f>'Assumptions HR_AUN'!$F$8</f>
        <v>80.053187003968247</v>
      </c>
      <c r="H165" s="164">
        <f>E165*F165*G165</f>
        <v>80.053187003968247</v>
      </c>
      <c r="I165" s="164">
        <f t="shared" ref="I165:K165" si="103">$H165*I$163</f>
        <v>12007.978050595237</v>
      </c>
      <c r="J165" s="164">
        <f t="shared" si="103"/>
        <v>8405.5846354166661</v>
      </c>
      <c r="K165" s="164">
        <f t="shared" si="103"/>
        <v>6003.9890252976184</v>
      </c>
      <c r="L165" s="132"/>
      <c r="M165" s="132"/>
      <c r="N165" s="111"/>
      <c r="O165" s="111"/>
      <c r="P165" s="111"/>
      <c r="Q165" s="111"/>
      <c r="R165" s="111"/>
      <c r="S165" s="712"/>
      <c r="T165" s="169" t="s">
        <v>404</v>
      </c>
      <c r="U165" s="169" t="s">
        <v>413</v>
      </c>
      <c r="V165" s="121" t="s">
        <v>977</v>
      </c>
      <c r="W165" s="121" t="s">
        <v>961</v>
      </c>
      <c r="X165" s="170">
        <f>G165*$D$35*$D$36</f>
        <v>40346.806249999994</v>
      </c>
      <c r="Y165" s="200">
        <f t="shared" ref="Y165:Y177" si="104">I165/X165</f>
        <v>0.29761904761904762</v>
      </c>
      <c r="Z165" s="167">
        <f t="shared" ref="Z165:Z174" si="105">X165*Y165</f>
        <v>12007.978050595237</v>
      </c>
      <c r="AA165" s="164">
        <f>X165</f>
        <v>40346.806249999994</v>
      </c>
      <c r="AB165" s="200">
        <f>J165/AA165</f>
        <v>0.20833333333333334</v>
      </c>
      <c r="AC165" s="167">
        <f t="shared" ref="AC165:AC178" si="106">AA165*AB165</f>
        <v>8405.5846354166661</v>
      </c>
      <c r="AD165" s="164">
        <f>AA165</f>
        <v>40346.806249999994</v>
      </c>
      <c r="AE165" s="200">
        <f>K165/AD165</f>
        <v>0.14880952380952381</v>
      </c>
      <c r="AF165" s="167">
        <f t="shared" ref="AF165:AF178" si="107">AD165*AE165</f>
        <v>6003.9890252976184</v>
      </c>
      <c r="AG165" s="67"/>
    </row>
    <row r="166" spans="1:33">
      <c r="A166" s="134"/>
      <c r="B166" s="153">
        <v>2</v>
      </c>
      <c r="C166" s="202" t="s">
        <v>978</v>
      </c>
      <c r="D166" s="121" t="s">
        <v>1033</v>
      </c>
      <c r="E166" s="209">
        <v>4</v>
      </c>
      <c r="F166" s="164">
        <f>4*'Assumptions TRC_AUN'!$I$92</f>
        <v>80</v>
      </c>
      <c r="G166" s="164">
        <f>'Assumptions TRC_AUN'!J91</f>
        <v>549.10625000000005</v>
      </c>
      <c r="H166" s="164">
        <f>G166</f>
        <v>549.10625000000005</v>
      </c>
      <c r="I166" s="164">
        <f>H166*SUM(I163:K163)</f>
        <v>181205.06250000003</v>
      </c>
      <c r="J166" s="164"/>
      <c r="K166" s="164"/>
      <c r="L166" s="132"/>
      <c r="M166" s="111"/>
      <c r="N166" s="111"/>
      <c r="O166" s="111"/>
      <c r="P166" s="111"/>
      <c r="Q166" s="111"/>
      <c r="R166" s="111"/>
      <c r="S166" s="712"/>
      <c r="T166" s="169" t="s">
        <v>404</v>
      </c>
      <c r="U166" s="169" t="s">
        <v>413</v>
      </c>
      <c r="V166" s="121" t="s">
        <v>950</v>
      </c>
      <c r="W166" s="121" t="s">
        <v>951</v>
      </c>
      <c r="X166" s="170">
        <f>$G$166</f>
        <v>549.10625000000005</v>
      </c>
      <c r="Y166" s="200">
        <f t="shared" si="104"/>
        <v>330</v>
      </c>
      <c r="Z166" s="167">
        <f t="shared" si="105"/>
        <v>181205.06250000003</v>
      </c>
      <c r="AA166" s="164"/>
      <c r="AB166" s="200"/>
      <c r="AC166" s="167">
        <f t="shared" si="106"/>
        <v>0</v>
      </c>
      <c r="AD166" s="164"/>
      <c r="AE166" s="200"/>
      <c r="AF166" s="167">
        <f t="shared" si="107"/>
        <v>0</v>
      </c>
      <c r="AG166" s="67"/>
    </row>
    <row r="167" spans="1:33">
      <c r="A167" s="134"/>
      <c r="B167" s="153">
        <v>3</v>
      </c>
      <c r="C167" s="202" t="s">
        <v>975</v>
      </c>
      <c r="D167" s="121" t="s">
        <v>1034</v>
      </c>
      <c r="E167" s="209">
        <v>1</v>
      </c>
      <c r="F167" s="164">
        <v>6</v>
      </c>
      <c r="G167" s="164">
        <f>'Assumptions HR_AUN'!$F$8</f>
        <v>80.053187003968247</v>
      </c>
      <c r="H167" s="164">
        <f t="shared" ref="H167:H169" si="108">E167*F167*G167</f>
        <v>480.31912202380948</v>
      </c>
      <c r="I167" s="164">
        <f t="shared" ref="I167:K167" si="109">$H167*I$163</f>
        <v>72047.86830357142</v>
      </c>
      <c r="J167" s="164">
        <f t="shared" si="109"/>
        <v>50433.507812499993</v>
      </c>
      <c r="K167" s="164">
        <f t="shared" si="109"/>
        <v>36023.93415178571</v>
      </c>
      <c r="L167" s="132"/>
      <c r="M167" s="132"/>
      <c r="N167" s="111"/>
      <c r="O167" s="111"/>
      <c r="P167" s="111"/>
      <c r="Q167" s="111"/>
      <c r="R167" s="111"/>
      <c r="S167" s="712"/>
      <c r="T167" s="169" t="s">
        <v>404</v>
      </c>
      <c r="U167" s="169" t="s">
        <v>413</v>
      </c>
      <c r="V167" s="121" t="s">
        <v>977</v>
      </c>
      <c r="W167" s="121" t="s">
        <v>961</v>
      </c>
      <c r="X167" s="170">
        <f t="shared" ref="X167:X169" si="110">G167*$D$35*$D$36</f>
        <v>40346.806249999994</v>
      </c>
      <c r="Y167" s="200">
        <f t="shared" si="104"/>
        <v>1.7857142857142858</v>
      </c>
      <c r="Z167" s="167">
        <f t="shared" si="105"/>
        <v>72047.86830357142</v>
      </c>
      <c r="AA167" s="164">
        <f t="shared" ref="AA167:AA176" si="111">X167</f>
        <v>40346.806249999994</v>
      </c>
      <c r="AB167" s="200">
        <f t="shared" ref="AB167:AB177" si="112">J167/AA167</f>
        <v>1.25</v>
      </c>
      <c r="AC167" s="167">
        <f t="shared" si="106"/>
        <v>50433.507812499993</v>
      </c>
      <c r="AD167" s="164">
        <f t="shared" ref="AD167:AD177" si="113">AA167</f>
        <v>40346.806249999994</v>
      </c>
      <c r="AE167" s="200">
        <f t="shared" ref="AE167:AE177" si="114">K167/AD167</f>
        <v>0.8928571428571429</v>
      </c>
      <c r="AF167" s="167">
        <f t="shared" si="107"/>
        <v>36023.93415178571</v>
      </c>
      <c r="AG167" s="67"/>
    </row>
    <row r="168" spans="1:33">
      <c r="A168" s="134"/>
      <c r="B168" s="153">
        <v>4</v>
      </c>
      <c r="C168" s="202" t="s">
        <v>978</v>
      </c>
      <c r="D168" s="121" t="s">
        <v>1035</v>
      </c>
      <c r="E168" s="209">
        <v>1</v>
      </c>
      <c r="F168" s="164">
        <v>3</v>
      </c>
      <c r="G168" s="164">
        <f>'Assumptions HR_AUN'!$F$8</f>
        <v>80.053187003968247</v>
      </c>
      <c r="H168" s="164">
        <f t="shared" si="108"/>
        <v>240.15956101190474</v>
      </c>
      <c r="I168" s="164">
        <f t="shared" ref="I168:K168" si="115">$H168*I$163</f>
        <v>36023.93415178571</v>
      </c>
      <c r="J168" s="164">
        <f t="shared" si="115"/>
        <v>25216.753906249996</v>
      </c>
      <c r="K168" s="164">
        <f t="shared" si="115"/>
        <v>18011.967075892855</v>
      </c>
      <c r="L168" s="132"/>
      <c r="M168" s="132"/>
      <c r="N168" s="111"/>
      <c r="O168" s="111"/>
      <c r="P168" s="111"/>
      <c r="Q168" s="111"/>
      <c r="R168" s="111"/>
      <c r="S168" s="712"/>
      <c r="T168" s="169" t="s">
        <v>404</v>
      </c>
      <c r="U168" s="169" t="s">
        <v>413</v>
      </c>
      <c r="V168" s="121" t="s">
        <v>977</v>
      </c>
      <c r="W168" s="121" t="s">
        <v>961</v>
      </c>
      <c r="X168" s="170">
        <f t="shared" si="110"/>
        <v>40346.806249999994</v>
      </c>
      <c r="Y168" s="200">
        <f t="shared" si="104"/>
        <v>0.8928571428571429</v>
      </c>
      <c r="Z168" s="167">
        <f t="shared" si="105"/>
        <v>36023.93415178571</v>
      </c>
      <c r="AA168" s="164">
        <f t="shared" si="111"/>
        <v>40346.806249999994</v>
      </c>
      <c r="AB168" s="200">
        <f t="shared" si="112"/>
        <v>0.625</v>
      </c>
      <c r="AC168" s="167">
        <f t="shared" si="106"/>
        <v>25216.753906249996</v>
      </c>
      <c r="AD168" s="164">
        <f t="shared" si="113"/>
        <v>40346.806249999994</v>
      </c>
      <c r="AE168" s="200">
        <f t="shared" si="114"/>
        <v>0.44642857142857145</v>
      </c>
      <c r="AF168" s="167">
        <f t="shared" si="107"/>
        <v>18011.967075892855</v>
      </c>
      <c r="AG168" s="67"/>
    </row>
    <row r="169" spans="1:33">
      <c r="A169" s="134"/>
      <c r="B169" s="153">
        <v>5</v>
      </c>
      <c r="C169" s="202" t="s">
        <v>978</v>
      </c>
      <c r="D169" s="121" t="s">
        <v>1036</v>
      </c>
      <c r="E169" s="209">
        <v>0.5</v>
      </c>
      <c r="F169" s="164">
        <v>18</v>
      </c>
      <c r="G169" s="164">
        <f>'Assumptions HR_AUN'!$F$8</f>
        <v>80.053187003968247</v>
      </c>
      <c r="H169" s="164">
        <f t="shared" si="108"/>
        <v>720.4786830357142</v>
      </c>
      <c r="I169" s="164">
        <f t="shared" ref="I169:K169" si="116">$H169*I$163</f>
        <v>108071.80245535713</v>
      </c>
      <c r="J169" s="164">
        <f t="shared" si="116"/>
        <v>75650.261718749985</v>
      </c>
      <c r="K169" s="164">
        <f t="shared" si="116"/>
        <v>54035.901227678565</v>
      </c>
      <c r="L169" s="132"/>
      <c r="M169" s="132"/>
      <c r="N169" s="111"/>
      <c r="O169" s="111"/>
      <c r="P169" s="111"/>
      <c r="Q169" s="111"/>
      <c r="R169" s="111"/>
      <c r="S169" s="712"/>
      <c r="T169" s="169" t="s">
        <v>404</v>
      </c>
      <c r="U169" s="169" t="s">
        <v>413</v>
      </c>
      <c r="V169" s="121" t="s">
        <v>977</v>
      </c>
      <c r="W169" s="121" t="s">
        <v>961</v>
      </c>
      <c r="X169" s="170">
        <f t="shared" si="110"/>
        <v>40346.806249999994</v>
      </c>
      <c r="Y169" s="200">
        <f t="shared" si="104"/>
        <v>2.6785714285714288</v>
      </c>
      <c r="Z169" s="167">
        <f t="shared" si="105"/>
        <v>108071.80245535713</v>
      </c>
      <c r="AA169" s="164">
        <f t="shared" si="111"/>
        <v>40346.806249999994</v>
      </c>
      <c r="AB169" s="200">
        <f t="shared" si="112"/>
        <v>1.875</v>
      </c>
      <c r="AC169" s="167">
        <f t="shared" si="106"/>
        <v>75650.261718749985</v>
      </c>
      <c r="AD169" s="164">
        <f t="shared" si="113"/>
        <v>40346.806249999994</v>
      </c>
      <c r="AE169" s="200">
        <f t="shared" si="114"/>
        <v>1.3392857142857144</v>
      </c>
      <c r="AF169" s="167">
        <f t="shared" si="107"/>
        <v>54035.901227678565</v>
      </c>
      <c r="AG169" s="67"/>
    </row>
    <row r="170" spans="1:33">
      <c r="A170" s="134"/>
      <c r="B170" s="153">
        <v>6</v>
      </c>
      <c r="C170" s="202" t="s">
        <v>978</v>
      </c>
      <c r="D170" s="121" t="s">
        <v>1037</v>
      </c>
      <c r="E170" s="209"/>
      <c r="F170" s="164">
        <f>270*0.5</f>
        <v>135</v>
      </c>
      <c r="G170" s="164">
        <f>'Assumptions Other_AUN'!$D$30</f>
        <v>20</v>
      </c>
      <c r="H170" s="164">
        <f t="shared" ref="H170:H173" si="117">F170*G170</f>
        <v>2700</v>
      </c>
      <c r="I170" s="164">
        <f t="shared" ref="I170:K170" si="118">$H170*I$163</f>
        <v>405000</v>
      </c>
      <c r="J170" s="164">
        <f t="shared" si="118"/>
        <v>283500</v>
      </c>
      <c r="K170" s="164">
        <f t="shared" si="118"/>
        <v>202500</v>
      </c>
      <c r="L170" s="132"/>
      <c r="M170" s="132"/>
      <c r="N170" s="111"/>
      <c r="O170" s="111"/>
      <c r="P170" s="210"/>
      <c r="Q170" s="111"/>
      <c r="R170" s="111"/>
      <c r="S170" s="712"/>
      <c r="T170" s="169" t="s">
        <v>404</v>
      </c>
      <c r="U170" s="169" t="s">
        <v>413</v>
      </c>
      <c r="V170" s="121" t="s">
        <v>957</v>
      </c>
      <c r="W170" s="121" t="s">
        <v>789</v>
      </c>
      <c r="X170" s="170">
        <f>$G$170</f>
        <v>20</v>
      </c>
      <c r="Y170" s="200">
        <f t="shared" si="104"/>
        <v>20250</v>
      </c>
      <c r="Z170" s="167">
        <f t="shared" si="105"/>
        <v>405000</v>
      </c>
      <c r="AA170" s="164">
        <f t="shared" si="111"/>
        <v>20</v>
      </c>
      <c r="AB170" s="200">
        <f t="shared" si="112"/>
        <v>14175</v>
      </c>
      <c r="AC170" s="167">
        <f t="shared" si="106"/>
        <v>283500</v>
      </c>
      <c r="AD170" s="164">
        <f t="shared" si="113"/>
        <v>20</v>
      </c>
      <c r="AE170" s="200">
        <f t="shared" si="114"/>
        <v>10125</v>
      </c>
      <c r="AF170" s="167">
        <f t="shared" si="107"/>
        <v>202500</v>
      </c>
      <c r="AG170" s="67"/>
    </row>
    <row r="171" spans="1:33">
      <c r="A171" s="134"/>
      <c r="B171" s="153">
        <v>7</v>
      </c>
      <c r="C171" s="202" t="s">
        <v>992</v>
      </c>
      <c r="D171" s="195" t="s">
        <v>1038</v>
      </c>
      <c r="E171" s="209"/>
      <c r="F171" s="211">
        <v>0.25</v>
      </c>
      <c r="G171" s="164">
        <f>$D$23</f>
        <v>1025</v>
      </c>
      <c r="H171" s="164">
        <f t="shared" si="117"/>
        <v>256.25</v>
      </c>
      <c r="I171" s="164">
        <f t="shared" ref="I171:K171" si="119">$H171*I$163</f>
        <v>38437.5</v>
      </c>
      <c r="J171" s="164">
        <f t="shared" si="119"/>
        <v>26906.25</v>
      </c>
      <c r="K171" s="164">
        <f t="shared" si="119"/>
        <v>19218.75</v>
      </c>
      <c r="L171" s="132"/>
      <c r="M171" s="132"/>
      <c r="N171" s="111"/>
      <c r="O171" s="111"/>
      <c r="P171" s="111"/>
      <c r="Q171" s="111"/>
      <c r="R171" s="111"/>
      <c r="S171" s="712"/>
      <c r="T171" s="169" t="s">
        <v>404</v>
      </c>
      <c r="U171" s="169" t="s">
        <v>413</v>
      </c>
      <c r="V171" s="121" t="s">
        <v>994</v>
      </c>
      <c r="W171" s="121" t="s">
        <v>789</v>
      </c>
      <c r="X171" s="170">
        <f>G171</f>
        <v>1025</v>
      </c>
      <c r="Y171" s="200">
        <f t="shared" si="104"/>
        <v>37.5</v>
      </c>
      <c r="Z171" s="167">
        <f t="shared" si="105"/>
        <v>38437.5</v>
      </c>
      <c r="AA171" s="164">
        <f t="shared" si="111"/>
        <v>1025</v>
      </c>
      <c r="AB171" s="200">
        <f t="shared" si="112"/>
        <v>26.25</v>
      </c>
      <c r="AC171" s="167">
        <f t="shared" si="106"/>
        <v>26906.25</v>
      </c>
      <c r="AD171" s="164">
        <f t="shared" si="113"/>
        <v>1025</v>
      </c>
      <c r="AE171" s="200">
        <f t="shared" si="114"/>
        <v>18.75</v>
      </c>
      <c r="AF171" s="167">
        <f t="shared" si="107"/>
        <v>19218.75</v>
      </c>
      <c r="AG171" s="67"/>
    </row>
    <row r="172" spans="1:33">
      <c r="A172" s="134"/>
      <c r="B172" s="153">
        <v>8</v>
      </c>
      <c r="C172" s="202" t="s">
        <v>992</v>
      </c>
      <c r="D172" s="121" t="s">
        <v>1039</v>
      </c>
      <c r="E172" s="209"/>
      <c r="F172" s="211">
        <v>0.5</v>
      </c>
      <c r="G172" s="164">
        <f>$D$24</f>
        <v>434</v>
      </c>
      <c r="H172" s="164">
        <f t="shared" si="117"/>
        <v>217</v>
      </c>
      <c r="I172" s="164">
        <f t="shared" ref="I172:K172" si="120">$H172*I$163</f>
        <v>32550</v>
      </c>
      <c r="J172" s="164">
        <f t="shared" si="120"/>
        <v>22785</v>
      </c>
      <c r="K172" s="164">
        <f t="shared" si="120"/>
        <v>16275</v>
      </c>
      <c r="L172" s="132"/>
      <c r="M172" s="132"/>
      <c r="N172" s="111"/>
      <c r="O172" s="111"/>
      <c r="P172" s="111"/>
      <c r="Q172" s="111"/>
      <c r="R172" s="111"/>
      <c r="S172" s="712"/>
      <c r="T172" s="169" t="s">
        <v>404</v>
      </c>
      <c r="U172" s="169" t="s">
        <v>413</v>
      </c>
      <c r="V172" s="121" t="s">
        <v>989</v>
      </c>
      <c r="W172" s="121" t="s">
        <v>1040</v>
      </c>
      <c r="X172" s="170">
        <f t="shared" ref="X172:X173" si="121">$G$172</f>
        <v>434</v>
      </c>
      <c r="Y172" s="200">
        <f t="shared" si="104"/>
        <v>75</v>
      </c>
      <c r="Z172" s="167">
        <f t="shared" si="105"/>
        <v>32550</v>
      </c>
      <c r="AA172" s="164">
        <f t="shared" si="111"/>
        <v>434</v>
      </c>
      <c r="AB172" s="200">
        <f t="shared" si="112"/>
        <v>52.5</v>
      </c>
      <c r="AC172" s="167">
        <f t="shared" si="106"/>
        <v>22785</v>
      </c>
      <c r="AD172" s="164">
        <f t="shared" si="113"/>
        <v>434</v>
      </c>
      <c r="AE172" s="200">
        <f t="shared" si="114"/>
        <v>37.5</v>
      </c>
      <c r="AF172" s="167">
        <f t="shared" si="107"/>
        <v>16275</v>
      </c>
      <c r="AG172" s="67"/>
    </row>
    <row r="173" spans="1:33">
      <c r="A173" s="134"/>
      <c r="B173" s="153">
        <v>9</v>
      </c>
      <c r="C173" s="202" t="s">
        <v>987</v>
      </c>
      <c r="D173" s="195" t="s">
        <v>1041</v>
      </c>
      <c r="E173" s="209"/>
      <c r="F173" s="164">
        <v>4</v>
      </c>
      <c r="G173" s="164">
        <f>$D$19</f>
        <v>244</v>
      </c>
      <c r="H173" s="164">
        <f t="shared" si="117"/>
        <v>976</v>
      </c>
      <c r="I173" s="164">
        <f t="shared" ref="I173:K173" si="122">$H173*I$163</f>
        <v>146400</v>
      </c>
      <c r="J173" s="164">
        <f t="shared" si="122"/>
        <v>102480</v>
      </c>
      <c r="K173" s="164">
        <f t="shared" si="122"/>
        <v>73200</v>
      </c>
      <c r="L173" s="132"/>
      <c r="M173" s="132"/>
      <c r="N173" s="111"/>
      <c r="O173" s="111"/>
      <c r="P173" s="111"/>
      <c r="Q173" s="111"/>
      <c r="R173" s="111"/>
      <c r="S173" s="712"/>
      <c r="T173" s="169" t="s">
        <v>404</v>
      </c>
      <c r="U173" s="169" t="s">
        <v>413</v>
      </c>
      <c r="V173" s="121" t="s">
        <v>989</v>
      </c>
      <c r="W173" s="121" t="s">
        <v>789</v>
      </c>
      <c r="X173" s="170">
        <f t="shared" si="121"/>
        <v>434</v>
      </c>
      <c r="Y173" s="200">
        <f t="shared" si="104"/>
        <v>337.32718894009219</v>
      </c>
      <c r="Z173" s="167">
        <f t="shared" si="105"/>
        <v>146400</v>
      </c>
      <c r="AA173" s="164">
        <f t="shared" si="111"/>
        <v>434</v>
      </c>
      <c r="AB173" s="200">
        <f t="shared" si="112"/>
        <v>236.12903225806451</v>
      </c>
      <c r="AC173" s="167">
        <f t="shared" si="106"/>
        <v>102480</v>
      </c>
      <c r="AD173" s="164">
        <f t="shared" si="113"/>
        <v>434</v>
      </c>
      <c r="AE173" s="200">
        <f t="shared" si="114"/>
        <v>168.66359447004609</v>
      </c>
      <c r="AF173" s="167">
        <f t="shared" si="107"/>
        <v>73200</v>
      </c>
      <c r="AG173" s="67"/>
    </row>
    <row r="174" spans="1:33">
      <c r="A174" s="134"/>
      <c r="B174" s="153">
        <v>10</v>
      </c>
      <c r="C174" s="202" t="s">
        <v>987</v>
      </c>
      <c r="D174" s="121" t="s">
        <v>1042</v>
      </c>
      <c r="E174" s="209">
        <v>6</v>
      </c>
      <c r="F174" s="164">
        <v>8</v>
      </c>
      <c r="G174" s="164">
        <f>'Assumptions HR_AUN'!$F$8</f>
        <v>80.053187003968247</v>
      </c>
      <c r="H174" s="164">
        <f t="shared" ref="H174:H176" si="123">E174*F174*G174</f>
        <v>3842.5529761904759</v>
      </c>
      <c r="I174" s="164">
        <f t="shared" ref="I174:K174" si="124">$H174*I$163</f>
        <v>576382.94642857136</v>
      </c>
      <c r="J174" s="164">
        <f t="shared" si="124"/>
        <v>403468.06249999994</v>
      </c>
      <c r="K174" s="164">
        <f t="shared" si="124"/>
        <v>288191.47321428568</v>
      </c>
      <c r="L174" s="132"/>
      <c r="M174" s="132"/>
      <c r="N174" s="111"/>
      <c r="O174" s="111"/>
      <c r="P174" s="111"/>
      <c r="Q174" s="111"/>
      <c r="R174" s="111"/>
      <c r="S174" s="712"/>
      <c r="T174" s="169" t="s">
        <v>404</v>
      </c>
      <c r="U174" s="169" t="s">
        <v>413</v>
      </c>
      <c r="V174" s="121" t="s">
        <v>977</v>
      </c>
      <c r="W174" s="121" t="s">
        <v>961</v>
      </c>
      <c r="X174" s="170">
        <f>G174*$D$35*$D$36</f>
        <v>40346.806249999994</v>
      </c>
      <c r="Y174" s="200">
        <f t="shared" si="104"/>
        <v>14.285714285714286</v>
      </c>
      <c r="Z174" s="167">
        <f t="shared" si="105"/>
        <v>576382.94642857136</v>
      </c>
      <c r="AA174" s="164">
        <f t="shared" si="111"/>
        <v>40346.806249999994</v>
      </c>
      <c r="AB174" s="200">
        <f t="shared" si="112"/>
        <v>10</v>
      </c>
      <c r="AC174" s="167">
        <f t="shared" si="106"/>
        <v>403468.06249999994</v>
      </c>
      <c r="AD174" s="164">
        <f t="shared" si="113"/>
        <v>40346.806249999994</v>
      </c>
      <c r="AE174" s="200">
        <f t="shared" si="114"/>
        <v>7.1428571428571432</v>
      </c>
      <c r="AF174" s="167">
        <f t="shared" si="107"/>
        <v>288191.47321428568</v>
      </c>
      <c r="AG174" s="67"/>
    </row>
    <row r="175" spans="1:33">
      <c r="A175" s="134"/>
      <c r="B175" s="153">
        <v>11</v>
      </c>
      <c r="C175" s="202" t="s">
        <v>978</v>
      </c>
      <c r="D175" s="121" t="s">
        <v>1043</v>
      </c>
      <c r="E175" s="209">
        <v>0.3</v>
      </c>
      <c r="F175" s="164">
        <v>6</v>
      </c>
      <c r="G175" s="164">
        <f>'Assumptions HR_AUN'!$F$4</f>
        <v>175.0219029103159</v>
      </c>
      <c r="H175" s="164">
        <f t="shared" si="123"/>
        <v>315.03942523856858</v>
      </c>
      <c r="I175" s="164">
        <f t="shared" ref="I175:K175" si="125">$H175*I$163</f>
        <v>47255.913785785291</v>
      </c>
      <c r="J175" s="164">
        <f t="shared" si="125"/>
        <v>33079.139650049699</v>
      </c>
      <c r="K175" s="164">
        <f t="shared" si="125"/>
        <v>23627.956892892646</v>
      </c>
      <c r="L175" s="132"/>
      <c r="M175" s="132"/>
      <c r="N175" s="111"/>
      <c r="O175" s="111"/>
      <c r="P175" s="111"/>
      <c r="Q175" s="111"/>
      <c r="R175" s="111"/>
      <c r="S175" s="712"/>
      <c r="T175" s="169" t="s">
        <v>404</v>
      </c>
      <c r="U175" s="169" t="s">
        <v>413</v>
      </c>
      <c r="V175" s="121" t="s">
        <v>848</v>
      </c>
      <c r="W175" s="164" t="s">
        <v>947</v>
      </c>
      <c r="X175" s="170">
        <f>'Assumptions TRC_AUN'!$E$33</f>
        <v>3334</v>
      </c>
      <c r="Y175" s="200">
        <f t="shared" si="104"/>
        <v>14.173939347866014</v>
      </c>
      <c r="Z175" s="167">
        <f t="shared" ref="Z175:Z176" si="126">I175</f>
        <v>47255.913785785291</v>
      </c>
      <c r="AA175" s="164">
        <f t="shared" si="111"/>
        <v>3334</v>
      </c>
      <c r="AB175" s="200">
        <f t="shared" si="112"/>
        <v>9.9217575435062084</v>
      </c>
      <c r="AC175" s="167">
        <f t="shared" si="106"/>
        <v>33079.139650049699</v>
      </c>
      <c r="AD175" s="164">
        <f t="shared" si="113"/>
        <v>3334</v>
      </c>
      <c r="AE175" s="200">
        <f t="shared" si="114"/>
        <v>7.086969673933007</v>
      </c>
      <c r="AF175" s="167">
        <f t="shared" si="107"/>
        <v>23627.956892892646</v>
      </c>
      <c r="AG175" s="67"/>
    </row>
    <row r="176" spans="1:33">
      <c r="A176" s="134"/>
      <c r="B176" s="153">
        <v>12</v>
      </c>
      <c r="C176" s="202" t="s">
        <v>978</v>
      </c>
      <c r="D176" s="202" t="s">
        <v>1044</v>
      </c>
      <c r="E176" s="209">
        <v>0.2</v>
      </c>
      <c r="F176" s="164">
        <v>6</v>
      </c>
      <c r="G176" s="164">
        <f>'Assumptions HR_AUN'!$F$4</f>
        <v>175.0219029103159</v>
      </c>
      <c r="H176" s="164">
        <f t="shared" si="123"/>
        <v>210.02628349237912</v>
      </c>
      <c r="I176" s="164">
        <f t="shared" ref="I176:K176" si="127">$H176*I$163</f>
        <v>31503.942523856869</v>
      </c>
      <c r="J176" s="164">
        <f t="shared" si="127"/>
        <v>22052.759766699808</v>
      </c>
      <c r="K176" s="164">
        <f t="shared" si="127"/>
        <v>15751.971261928435</v>
      </c>
      <c r="L176" s="132"/>
      <c r="M176" s="132"/>
      <c r="N176" s="111"/>
      <c r="O176" s="111"/>
      <c r="P176" s="111"/>
      <c r="Q176" s="111"/>
      <c r="R176" s="111"/>
      <c r="S176" s="712"/>
      <c r="T176" s="169" t="s">
        <v>404</v>
      </c>
      <c r="U176" s="169" t="s">
        <v>413</v>
      </c>
      <c r="V176" s="121" t="s">
        <v>848</v>
      </c>
      <c r="W176" s="164" t="s">
        <v>947</v>
      </c>
      <c r="X176" s="170">
        <f>'Assumptions TRC_AUN'!$E$33</f>
        <v>3334</v>
      </c>
      <c r="Y176" s="200">
        <f t="shared" si="104"/>
        <v>9.4492928985773457</v>
      </c>
      <c r="Z176" s="167">
        <f t="shared" si="126"/>
        <v>31503.942523856869</v>
      </c>
      <c r="AA176" s="164">
        <f t="shared" si="111"/>
        <v>3334</v>
      </c>
      <c r="AB176" s="200">
        <f t="shared" si="112"/>
        <v>6.6145050290041416</v>
      </c>
      <c r="AC176" s="167">
        <f t="shared" si="106"/>
        <v>22052.759766699808</v>
      </c>
      <c r="AD176" s="164">
        <f t="shared" si="113"/>
        <v>3334</v>
      </c>
      <c r="AE176" s="200">
        <f t="shared" si="114"/>
        <v>4.7246464492886728</v>
      </c>
      <c r="AF176" s="167">
        <f t="shared" si="107"/>
        <v>15751.971261928435</v>
      </c>
      <c r="AG176" s="67"/>
    </row>
    <row r="177" spans="1:33">
      <c r="A177" s="134"/>
      <c r="B177" s="153">
        <v>13</v>
      </c>
      <c r="C177" s="202" t="s">
        <v>1045</v>
      </c>
      <c r="D177" s="202">
        <v>0.1</v>
      </c>
      <c r="E177" s="121"/>
      <c r="F177" s="121"/>
      <c r="G177" s="121"/>
      <c r="H177" s="164">
        <f>SUM(H165:H176)*0.1</f>
        <v>1058.6985487996822</v>
      </c>
      <c r="I177" s="164">
        <f t="shared" ref="I177:K177" si="128">$H177*I$163</f>
        <v>158804.78231995233</v>
      </c>
      <c r="J177" s="164">
        <f t="shared" si="128"/>
        <v>111163.34762396662</v>
      </c>
      <c r="K177" s="164">
        <f t="shared" si="128"/>
        <v>79402.391159976163</v>
      </c>
      <c r="L177" s="132"/>
      <c r="M177" s="132"/>
      <c r="N177" s="111"/>
      <c r="O177" s="111"/>
      <c r="P177" s="111"/>
      <c r="Q177" s="111"/>
      <c r="R177" s="111"/>
      <c r="S177" s="712"/>
      <c r="T177" s="169"/>
      <c r="U177" s="169"/>
      <c r="V177" s="121" t="s">
        <v>875</v>
      </c>
      <c r="W177" s="121" t="s">
        <v>961</v>
      </c>
      <c r="X177" s="170">
        <f>'Assumptions HR_AUN'!$D$4*3</f>
        <v>88211.039066799218</v>
      </c>
      <c r="Y177" s="200">
        <f t="shared" si="104"/>
        <v>1.800282413629601</v>
      </c>
      <c r="Z177" s="167">
        <f t="shared" ref="Z177:Z178" si="129">X177*Y177</f>
        <v>158804.78231995233</v>
      </c>
      <c r="AA177" s="170">
        <f>'Assumptions HR_AUN'!$D$4*3</f>
        <v>88211.039066799218</v>
      </c>
      <c r="AB177" s="200">
        <f t="shared" si="112"/>
        <v>1.2601976895407205</v>
      </c>
      <c r="AC177" s="167">
        <f t="shared" si="106"/>
        <v>111163.34762396661</v>
      </c>
      <c r="AD177" s="164">
        <f t="shared" si="113"/>
        <v>88211.039066799218</v>
      </c>
      <c r="AE177" s="200">
        <f t="shared" si="114"/>
        <v>0.90014120681480048</v>
      </c>
      <c r="AF177" s="167">
        <f t="shared" si="107"/>
        <v>79402.391159976163</v>
      </c>
      <c r="AG177" s="67"/>
    </row>
    <row r="178" spans="1:33">
      <c r="A178" s="134"/>
      <c r="B178" s="153">
        <v>14</v>
      </c>
      <c r="C178" s="202" t="s">
        <v>1046</v>
      </c>
      <c r="D178" s="202">
        <v>0.15</v>
      </c>
      <c r="E178" s="121"/>
      <c r="F178" s="121"/>
      <c r="G178" s="121"/>
      <c r="H178" s="164">
        <f>SUM(H165:H176)*0.15</f>
        <v>1588.047823199523</v>
      </c>
      <c r="I178" s="164">
        <f t="shared" ref="I178:K178" si="130">$H178*I$163</f>
        <v>238207.17347992846</v>
      </c>
      <c r="J178" s="164">
        <f t="shared" si="130"/>
        <v>166745.02143594992</v>
      </c>
      <c r="K178" s="164">
        <f t="shared" si="130"/>
        <v>119103.58673996423</v>
      </c>
      <c r="L178" s="132"/>
      <c r="M178" s="132"/>
      <c r="N178" s="111"/>
      <c r="O178" s="111"/>
      <c r="P178" s="111"/>
      <c r="Q178" s="111"/>
      <c r="R178" s="111"/>
      <c r="S178" s="712"/>
      <c r="T178" s="169"/>
      <c r="U178" s="169"/>
      <c r="V178" s="121" t="s">
        <v>881</v>
      </c>
      <c r="W178" s="121" t="s">
        <v>964</v>
      </c>
      <c r="X178" s="170">
        <f>I178/4</f>
        <v>59551.793369982115</v>
      </c>
      <c r="Y178" s="200">
        <v>4</v>
      </c>
      <c r="Z178" s="167">
        <f t="shared" si="129"/>
        <v>238207.17347992846</v>
      </c>
      <c r="AA178" s="164">
        <f>J178/4</f>
        <v>41686.255358987481</v>
      </c>
      <c r="AB178" s="200">
        <v>4</v>
      </c>
      <c r="AC178" s="167">
        <f t="shared" si="106"/>
        <v>166745.02143594992</v>
      </c>
      <c r="AD178" s="164">
        <f>K178/4</f>
        <v>29775.896684991058</v>
      </c>
      <c r="AE178" s="200">
        <v>4</v>
      </c>
      <c r="AF178" s="167">
        <f t="shared" si="107"/>
        <v>119103.58673996423</v>
      </c>
      <c r="AG178" s="67"/>
    </row>
    <row r="179" spans="1:33">
      <c r="A179" s="134"/>
      <c r="B179" s="212"/>
      <c r="C179" s="212" t="s">
        <v>1047</v>
      </c>
      <c r="D179" s="212"/>
      <c r="E179" s="212"/>
      <c r="F179" s="212"/>
      <c r="G179" s="212"/>
      <c r="H179" s="178">
        <f t="shared" ref="H179:K179" si="131">SUM(H165:H178)</f>
        <v>13233.731859996027</v>
      </c>
      <c r="I179" s="178">
        <f t="shared" si="131"/>
        <v>2083898.9039994038</v>
      </c>
      <c r="J179" s="178">
        <f t="shared" si="131"/>
        <v>1331885.6890495827</v>
      </c>
      <c r="K179" s="178">
        <f t="shared" si="131"/>
        <v>951346.92074970179</v>
      </c>
      <c r="L179" s="111"/>
      <c r="M179" s="132"/>
      <c r="N179" s="111"/>
      <c r="O179" s="111"/>
      <c r="P179" s="111"/>
      <c r="Q179" s="111"/>
      <c r="R179" s="111"/>
      <c r="S179" s="712"/>
      <c r="T179" s="111"/>
      <c r="U179" s="111"/>
      <c r="V179" s="111"/>
      <c r="W179" s="111"/>
      <c r="X179" s="132"/>
      <c r="Y179" s="133"/>
      <c r="Z179" s="132"/>
      <c r="AA179" s="132"/>
      <c r="AB179" s="133"/>
      <c r="AC179" s="132"/>
      <c r="AD179" s="132"/>
      <c r="AE179" s="133"/>
      <c r="AF179" s="132"/>
      <c r="AG179" s="67"/>
    </row>
    <row r="180" spans="1:33">
      <c r="A180" s="9"/>
      <c r="B180" s="111"/>
      <c r="C180" s="111"/>
      <c r="D180" s="111"/>
      <c r="E180" s="111"/>
      <c r="F180" s="111"/>
      <c r="G180" s="111"/>
      <c r="H180" s="213"/>
      <c r="I180" s="132"/>
      <c r="J180" s="132"/>
      <c r="K180" s="132"/>
      <c r="L180" s="132"/>
      <c r="M180" s="111"/>
      <c r="N180" s="111"/>
      <c r="O180" s="111"/>
      <c r="P180" s="111"/>
      <c r="Q180" s="111"/>
      <c r="R180" s="111"/>
      <c r="S180" s="712"/>
      <c r="T180" s="111"/>
      <c r="U180" s="111"/>
      <c r="V180" s="111"/>
      <c r="W180" s="111"/>
      <c r="X180" s="132"/>
      <c r="Y180" s="133"/>
      <c r="Z180" s="132"/>
      <c r="AA180" s="132"/>
      <c r="AB180" s="133"/>
      <c r="AC180" s="132"/>
      <c r="AD180" s="132"/>
      <c r="AE180" s="133"/>
      <c r="AF180" s="132"/>
      <c r="AG180" s="67"/>
    </row>
    <row r="181" spans="1:33">
      <c r="A181" s="9"/>
      <c r="B181" s="111"/>
      <c r="C181" s="111"/>
      <c r="D181" s="111"/>
      <c r="E181" s="111"/>
      <c r="F181" s="111"/>
      <c r="G181" s="132"/>
      <c r="H181" s="214"/>
      <c r="I181" s="214"/>
      <c r="J181" s="214"/>
      <c r="K181" s="214"/>
      <c r="L181" s="111"/>
      <c r="M181" s="111"/>
      <c r="N181" s="111"/>
      <c r="O181" s="111"/>
      <c r="P181" s="111"/>
      <c r="Q181" s="111"/>
      <c r="R181" s="111"/>
      <c r="S181" s="712"/>
      <c r="T181" s="111"/>
      <c r="U181" s="111"/>
      <c r="V181" s="111"/>
      <c r="W181" s="111"/>
      <c r="X181" s="132"/>
      <c r="Y181" s="133"/>
      <c r="Z181" s="132"/>
      <c r="AA181" s="132"/>
      <c r="AB181" s="133"/>
      <c r="AC181" s="132"/>
      <c r="AD181" s="132"/>
      <c r="AE181" s="133"/>
      <c r="AF181" s="132"/>
      <c r="AG181" s="67"/>
    </row>
    <row r="182" spans="1:33">
      <c r="A182" s="9"/>
      <c r="B182" s="151"/>
      <c r="C182" s="215"/>
      <c r="D182" s="215"/>
      <c r="E182" s="215"/>
      <c r="F182" s="215"/>
      <c r="G182" s="215"/>
      <c r="H182" s="215"/>
      <c r="I182" s="215"/>
      <c r="J182" s="215"/>
      <c r="K182" s="215"/>
      <c r="L182" s="111"/>
      <c r="M182" s="111"/>
      <c r="N182" s="111"/>
      <c r="O182" s="111"/>
      <c r="P182" s="111"/>
      <c r="Q182" s="111"/>
      <c r="R182" s="111"/>
      <c r="S182" s="712"/>
      <c r="T182" s="111"/>
      <c r="U182" s="111"/>
      <c r="V182" s="111"/>
      <c r="W182" s="111"/>
      <c r="X182" s="132"/>
      <c r="Y182" s="133"/>
      <c r="Z182" s="132"/>
      <c r="AA182" s="132"/>
      <c r="AB182" s="133"/>
      <c r="AC182" s="132"/>
      <c r="AD182" s="132"/>
      <c r="AE182" s="133"/>
      <c r="AF182" s="132"/>
      <c r="AG182" s="67"/>
    </row>
    <row r="183" spans="1:33">
      <c r="A183" s="725">
        <v>7</v>
      </c>
      <c r="B183" s="726" t="e" vm="1">
        <f>'[2]AUN Budget'!$E$27</f>
        <v>#VALUE!</v>
      </c>
      <c r="C183" s="731"/>
      <c r="D183" s="731"/>
      <c r="E183" s="731"/>
      <c r="F183" s="731"/>
      <c r="G183" s="731"/>
      <c r="H183" s="731"/>
      <c r="I183" s="181">
        <v>500</v>
      </c>
      <c r="J183" s="216">
        <v>500</v>
      </c>
      <c r="K183" s="216">
        <v>500</v>
      </c>
      <c r="L183" s="111"/>
      <c r="M183" s="111"/>
      <c r="N183" s="111"/>
      <c r="O183" s="111"/>
      <c r="P183" s="111"/>
      <c r="Q183" s="111"/>
      <c r="R183" s="111"/>
      <c r="S183" s="712"/>
      <c r="T183" s="111"/>
      <c r="U183" s="111"/>
      <c r="V183" s="111"/>
      <c r="W183" s="111"/>
      <c r="X183" s="132"/>
      <c r="Y183" s="133"/>
      <c r="Z183" s="132"/>
      <c r="AA183" s="132"/>
      <c r="AB183" s="133"/>
      <c r="AC183" s="132"/>
      <c r="AD183" s="132"/>
      <c r="AE183" s="133"/>
      <c r="AF183" s="132"/>
      <c r="AG183" s="67"/>
    </row>
    <row r="184" spans="1:33">
      <c r="A184" s="157" t="s">
        <v>66</v>
      </c>
      <c r="B184" s="113" t="s">
        <v>755</v>
      </c>
      <c r="C184" s="113" t="s">
        <v>966</v>
      </c>
      <c r="D184" s="113" t="s">
        <v>967</v>
      </c>
      <c r="E184" s="113" t="s">
        <v>968</v>
      </c>
      <c r="F184" s="113" t="s">
        <v>969</v>
      </c>
      <c r="G184" s="113" t="s">
        <v>970</v>
      </c>
      <c r="H184" s="113" t="s">
        <v>971</v>
      </c>
      <c r="I184" s="113" t="s">
        <v>972</v>
      </c>
      <c r="J184" s="113" t="s">
        <v>973</v>
      </c>
      <c r="K184" s="113" t="s">
        <v>974</v>
      </c>
      <c r="L184" s="111"/>
      <c r="M184" s="111"/>
      <c r="N184" s="111"/>
      <c r="O184" s="182"/>
      <c r="P184" s="182"/>
      <c r="Q184" s="182"/>
      <c r="R184" s="182"/>
      <c r="S184" s="727"/>
      <c r="T184" s="159" t="s">
        <v>387</v>
      </c>
      <c r="U184" s="159" t="s">
        <v>388</v>
      </c>
      <c r="V184" s="159" t="s">
        <v>934</v>
      </c>
      <c r="W184" s="160" t="s">
        <v>935</v>
      </c>
      <c r="X184" s="161" t="s">
        <v>936</v>
      </c>
      <c r="Y184" s="162" t="s">
        <v>937</v>
      </c>
      <c r="Z184" s="161" t="s">
        <v>938</v>
      </c>
      <c r="AA184" s="161" t="s">
        <v>939</v>
      </c>
      <c r="AB184" s="162" t="s">
        <v>940</v>
      </c>
      <c r="AC184" s="161" t="s">
        <v>941</v>
      </c>
      <c r="AD184" s="161" t="s">
        <v>942</v>
      </c>
      <c r="AE184" s="162" t="s">
        <v>943</v>
      </c>
      <c r="AF184" s="161" t="s">
        <v>944</v>
      </c>
      <c r="AG184" s="67"/>
    </row>
    <row r="185" spans="1:33">
      <c r="A185" s="134"/>
      <c r="B185" s="153">
        <v>1</v>
      </c>
      <c r="C185" s="121" t="s">
        <v>978</v>
      </c>
      <c r="D185" s="121" t="s">
        <v>1048</v>
      </c>
      <c r="E185" s="209"/>
      <c r="F185" s="164">
        <f>360*0.5</f>
        <v>180</v>
      </c>
      <c r="G185" s="164">
        <f>$D$30</f>
        <v>20</v>
      </c>
      <c r="H185" s="164">
        <f>F185*G185</f>
        <v>3600</v>
      </c>
      <c r="I185" s="164">
        <f t="shared" ref="I185:K185" si="132">$H185*I$183</f>
        <v>1800000</v>
      </c>
      <c r="J185" s="164">
        <f t="shared" si="132"/>
        <v>1800000</v>
      </c>
      <c r="K185" s="164">
        <f t="shared" si="132"/>
        <v>1800000</v>
      </c>
      <c r="L185" s="111"/>
      <c r="M185" s="111"/>
      <c r="N185" s="111"/>
      <c r="O185" s="111"/>
      <c r="P185" s="111"/>
      <c r="Q185" s="111"/>
      <c r="R185" s="111"/>
      <c r="S185" s="712"/>
      <c r="T185" s="169" t="s">
        <v>946</v>
      </c>
      <c r="U185" s="169" t="s">
        <v>946</v>
      </c>
      <c r="V185" s="121" t="s">
        <v>957</v>
      </c>
      <c r="W185" s="121" t="s">
        <v>789</v>
      </c>
      <c r="X185" s="170">
        <f>$G$185</f>
        <v>20</v>
      </c>
      <c r="Y185" s="200">
        <f t="shared" ref="Y185:Y193" si="133">I185/X185</f>
        <v>90000</v>
      </c>
      <c r="Z185" s="167">
        <f t="shared" ref="Z185:Z193" si="134">X185*Y185</f>
        <v>1800000</v>
      </c>
      <c r="AA185" s="164">
        <f>$G$185</f>
        <v>20</v>
      </c>
      <c r="AB185" s="200">
        <f t="shared" ref="AB185:AB193" si="135">J185/AA185</f>
        <v>90000</v>
      </c>
      <c r="AC185" s="167">
        <f t="shared" ref="AC185:AC193" si="136">AA185*AB185</f>
        <v>1800000</v>
      </c>
      <c r="AD185" s="164">
        <f>$G$185</f>
        <v>20</v>
      </c>
      <c r="AE185" s="200">
        <f t="shared" ref="AE185:AE193" si="137">K185/AD185</f>
        <v>90000</v>
      </c>
      <c r="AF185" s="167">
        <f t="shared" ref="AF185:AF193" si="138">AD185*AE185</f>
        <v>1800000</v>
      </c>
      <c r="AG185" s="67"/>
    </row>
    <row r="186" spans="1:33">
      <c r="A186" s="134"/>
      <c r="B186" s="153">
        <v>2</v>
      </c>
      <c r="C186" s="121" t="s">
        <v>978</v>
      </c>
      <c r="D186" s="121" t="s">
        <v>1049</v>
      </c>
      <c r="E186" s="209">
        <v>0</v>
      </c>
      <c r="F186" s="164">
        <v>12</v>
      </c>
      <c r="G186" s="164">
        <f>'Assumptions HR_AUN'!$F$4</f>
        <v>175.0219029103159</v>
      </c>
      <c r="H186" s="164">
        <f>E186*F186*G186</f>
        <v>0</v>
      </c>
      <c r="I186" s="164">
        <f t="shared" ref="I186:K186" si="139">$H186*I$183</f>
        <v>0</v>
      </c>
      <c r="J186" s="164">
        <f t="shared" si="139"/>
        <v>0</v>
      </c>
      <c r="K186" s="164">
        <f t="shared" si="139"/>
        <v>0</v>
      </c>
      <c r="L186" s="111"/>
      <c r="M186" s="111"/>
      <c r="N186" s="111"/>
      <c r="O186" s="111"/>
      <c r="P186" s="111"/>
      <c r="Q186" s="111"/>
      <c r="R186" s="111"/>
      <c r="S186" s="712"/>
      <c r="T186" s="169" t="s">
        <v>946</v>
      </c>
      <c r="U186" s="169" t="s">
        <v>946</v>
      </c>
      <c r="V186" s="121" t="s">
        <v>977</v>
      </c>
      <c r="W186" s="121" t="s">
        <v>961</v>
      </c>
      <c r="X186" s="170">
        <f>$G186*$D$35*$D$36</f>
        <v>88211.039066799218</v>
      </c>
      <c r="Y186" s="200">
        <f t="shared" si="133"/>
        <v>0</v>
      </c>
      <c r="Z186" s="167">
        <f t="shared" si="134"/>
        <v>0</v>
      </c>
      <c r="AA186" s="164">
        <f>$G186*$D$35*$D$36</f>
        <v>88211.039066799218</v>
      </c>
      <c r="AB186" s="200">
        <f t="shared" si="135"/>
        <v>0</v>
      </c>
      <c r="AC186" s="167">
        <f t="shared" si="136"/>
        <v>0</v>
      </c>
      <c r="AD186" s="164">
        <f>$G186*$D$35*$D$36</f>
        <v>88211.039066799218</v>
      </c>
      <c r="AE186" s="200">
        <f t="shared" si="137"/>
        <v>0</v>
      </c>
      <c r="AF186" s="167">
        <f t="shared" si="138"/>
        <v>0</v>
      </c>
      <c r="AG186" s="67"/>
    </row>
    <row r="187" spans="1:33">
      <c r="A187" s="134"/>
      <c r="B187" s="153">
        <v>3</v>
      </c>
      <c r="C187" s="121" t="s">
        <v>997</v>
      </c>
      <c r="D187" s="121" t="s">
        <v>1050</v>
      </c>
      <c r="E187" s="209"/>
      <c r="F187" s="164">
        <v>7</v>
      </c>
      <c r="G187" s="164">
        <f>$D$32</f>
        <v>60</v>
      </c>
      <c r="H187" s="164">
        <f t="shared" ref="H187:H188" si="140">F187*G187</f>
        <v>420</v>
      </c>
      <c r="I187" s="164">
        <f t="shared" ref="I187:K187" si="141">$H187*I$183</f>
        <v>210000</v>
      </c>
      <c r="J187" s="164">
        <f t="shared" si="141"/>
        <v>210000</v>
      </c>
      <c r="K187" s="164">
        <f t="shared" si="141"/>
        <v>210000</v>
      </c>
      <c r="L187" s="111"/>
      <c r="M187" s="111"/>
      <c r="N187" s="111"/>
      <c r="O187" s="111"/>
      <c r="P187" s="111"/>
      <c r="Q187" s="111"/>
      <c r="R187" s="111"/>
      <c r="S187" s="712"/>
      <c r="T187" s="169" t="s">
        <v>946</v>
      </c>
      <c r="U187" s="169" t="s">
        <v>946</v>
      </c>
      <c r="V187" s="121" t="s">
        <v>957</v>
      </c>
      <c r="W187" s="121" t="s">
        <v>789</v>
      </c>
      <c r="X187" s="170">
        <f>$G$185</f>
        <v>20</v>
      </c>
      <c r="Y187" s="200">
        <f t="shared" si="133"/>
        <v>10500</v>
      </c>
      <c r="Z187" s="167">
        <f t="shared" si="134"/>
        <v>210000</v>
      </c>
      <c r="AA187" s="164">
        <f>$G$187</f>
        <v>60</v>
      </c>
      <c r="AB187" s="200">
        <f t="shared" si="135"/>
        <v>3500</v>
      </c>
      <c r="AC187" s="167">
        <f t="shared" si="136"/>
        <v>210000</v>
      </c>
      <c r="AD187" s="164">
        <f>$G$187</f>
        <v>60</v>
      </c>
      <c r="AE187" s="200">
        <f t="shared" si="137"/>
        <v>3500</v>
      </c>
      <c r="AF187" s="167">
        <f t="shared" si="138"/>
        <v>210000</v>
      </c>
      <c r="AG187" s="67"/>
    </row>
    <row r="188" spans="1:33">
      <c r="A188" s="134"/>
      <c r="B188" s="153">
        <v>4</v>
      </c>
      <c r="C188" s="121" t="s">
        <v>987</v>
      </c>
      <c r="D188" s="121" t="s">
        <v>1051</v>
      </c>
      <c r="E188" s="209"/>
      <c r="F188" s="164">
        <v>12</v>
      </c>
      <c r="G188" s="164">
        <f>$D$20</f>
        <v>156</v>
      </c>
      <c r="H188" s="164">
        <f t="shared" si="140"/>
        <v>1872</v>
      </c>
      <c r="I188" s="164">
        <f t="shared" ref="I188:K188" si="142">$H188*I$183</f>
        <v>936000</v>
      </c>
      <c r="J188" s="164">
        <f t="shared" si="142"/>
        <v>936000</v>
      </c>
      <c r="K188" s="164">
        <f t="shared" si="142"/>
        <v>936000</v>
      </c>
      <c r="L188" s="111"/>
      <c r="M188" s="111"/>
      <c r="N188" s="111"/>
      <c r="O188" s="111"/>
      <c r="P188" s="111"/>
      <c r="Q188" s="111"/>
      <c r="R188" s="111"/>
      <c r="S188" s="712"/>
      <c r="T188" s="169" t="s">
        <v>946</v>
      </c>
      <c r="U188" s="169" t="s">
        <v>946</v>
      </c>
      <c r="V188" s="121" t="s">
        <v>989</v>
      </c>
      <c r="W188" s="121" t="s">
        <v>789</v>
      </c>
      <c r="X188" s="170">
        <f>$G$188</f>
        <v>156</v>
      </c>
      <c r="Y188" s="200">
        <f t="shared" si="133"/>
        <v>6000</v>
      </c>
      <c r="Z188" s="167">
        <f t="shared" si="134"/>
        <v>936000</v>
      </c>
      <c r="AA188" s="164">
        <f>$G$188</f>
        <v>156</v>
      </c>
      <c r="AB188" s="200">
        <f t="shared" si="135"/>
        <v>6000</v>
      </c>
      <c r="AC188" s="167">
        <f t="shared" si="136"/>
        <v>936000</v>
      </c>
      <c r="AD188" s="164">
        <f>$G$188</f>
        <v>156</v>
      </c>
      <c r="AE188" s="200">
        <f t="shared" si="137"/>
        <v>6000</v>
      </c>
      <c r="AF188" s="167">
        <f t="shared" si="138"/>
        <v>936000</v>
      </c>
      <c r="AG188" s="67"/>
    </row>
    <row r="189" spans="1:33">
      <c r="A189" s="134"/>
      <c r="B189" s="153">
        <v>5</v>
      </c>
      <c r="C189" s="121" t="s">
        <v>1052</v>
      </c>
      <c r="D189" s="121" t="s">
        <v>1053</v>
      </c>
      <c r="E189" s="209">
        <v>4</v>
      </c>
      <c r="F189" s="164">
        <v>1</v>
      </c>
      <c r="G189" s="164">
        <f>'Assumptions HR_AUN'!$F$4</f>
        <v>175.0219029103159</v>
      </c>
      <c r="H189" s="164">
        <f t="shared" ref="H189:H190" si="143">E189*F189*G189</f>
        <v>700.08761164126361</v>
      </c>
      <c r="I189" s="164">
        <f t="shared" ref="I189:K189" si="144">$H189*I$183</f>
        <v>350043.80582063179</v>
      </c>
      <c r="J189" s="164">
        <f t="shared" si="144"/>
        <v>350043.80582063179</v>
      </c>
      <c r="K189" s="164">
        <f t="shared" si="144"/>
        <v>350043.80582063179</v>
      </c>
      <c r="L189" s="111"/>
      <c r="M189" s="111"/>
      <c r="N189" s="111"/>
      <c r="O189" s="111"/>
      <c r="P189" s="111"/>
      <c r="Q189" s="111"/>
      <c r="R189" s="111"/>
      <c r="S189" s="712"/>
      <c r="T189" s="169" t="s">
        <v>946</v>
      </c>
      <c r="U189" s="169" t="s">
        <v>946</v>
      </c>
      <c r="V189" s="121" t="s">
        <v>991</v>
      </c>
      <c r="W189" s="121" t="s">
        <v>961</v>
      </c>
      <c r="X189" s="170">
        <f>'Assumptions HR_AUN'!$F$4*'Assumptions Other_AUN'!$D$35*'Assumptions Other_AUN'!$D$36</f>
        <v>88211.039066799218</v>
      </c>
      <c r="Y189" s="200">
        <f t="shared" si="133"/>
        <v>3.9682539682539679</v>
      </c>
      <c r="Z189" s="167">
        <f t="shared" si="134"/>
        <v>350043.80582063179</v>
      </c>
      <c r="AA189" s="164">
        <f>'Assumptions HR_AUN'!$F$4*'Assumptions Other_AUN'!$D$35*'Assumptions Other_AUN'!$D$36</f>
        <v>88211.039066799218</v>
      </c>
      <c r="AB189" s="200">
        <f t="shared" si="135"/>
        <v>3.9682539682539679</v>
      </c>
      <c r="AC189" s="167">
        <f t="shared" si="136"/>
        <v>350043.80582063179</v>
      </c>
      <c r="AD189" s="164">
        <f>'Assumptions HR_AUN'!$F$4*'Assumptions Other_AUN'!$D$35*'Assumptions Other_AUN'!$D$36</f>
        <v>88211.039066799218</v>
      </c>
      <c r="AE189" s="200">
        <f t="shared" si="137"/>
        <v>3.9682539682539679</v>
      </c>
      <c r="AF189" s="167">
        <f t="shared" si="138"/>
        <v>350043.80582063179</v>
      </c>
      <c r="AG189" s="67"/>
    </row>
    <row r="190" spans="1:33">
      <c r="A190" s="134"/>
      <c r="B190" s="153">
        <v>6</v>
      </c>
      <c r="C190" s="121" t="s">
        <v>1052</v>
      </c>
      <c r="D190" s="121" t="s">
        <v>1054</v>
      </c>
      <c r="E190" s="209">
        <v>4</v>
      </c>
      <c r="F190" s="164">
        <v>1</v>
      </c>
      <c r="G190" s="164">
        <f>'Assumptions HR_AUN'!$F$4</f>
        <v>175.0219029103159</v>
      </c>
      <c r="H190" s="164">
        <f t="shared" si="143"/>
        <v>700.08761164126361</v>
      </c>
      <c r="I190" s="164">
        <f t="shared" ref="I190:K190" si="145">$H190*I$183</f>
        <v>350043.80582063179</v>
      </c>
      <c r="J190" s="164">
        <f t="shared" si="145"/>
        <v>350043.80582063179</v>
      </c>
      <c r="K190" s="164">
        <f t="shared" si="145"/>
        <v>350043.80582063179</v>
      </c>
      <c r="L190" s="111"/>
      <c r="M190" s="111"/>
      <c r="N190" s="111"/>
      <c r="O190" s="111"/>
      <c r="P190" s="111"/>
      <c r="Q190" s="111"/>
      <c r="R190" s="111"/>
      <c r="S190" s="712"/>
      <c r="T190" s="169" t="s">
        <v>946</v>
      </c>
      <c r="U190" s="169" t="s">
        <v>946</v>
      </c>
      <c r="V190" s="121" t="s">
        <v>991</v>
      </c>
      <c r="W190" s="121" t="s">
        <v>961</v>
      </c>
      <c r="X190" s="170">
        <f>'Assumptions HR_AUN'!$F$4*'Assumptions Other_AUN'!$D$35*'Assumptions Other_AUN'!$D$36</f>
        <v>88211.039066799218</v>
      </c>
      <c r="Y190" s="200">
        <f t="shared" si="133"/>
        <v>3.9682539682539679</v>
      </c>
      <c r="Z190" s="167">
        <f t="shared" si="134"/>
        <v>350043.80582063179</v>
      </c>
      <c r="AA190" s="164">
        <f>'Assumptions HR_AUN'!$F$4*'Assumptions Other_AUN'!$D$35*'Assumptions Other_AUN'!$D$36</f>
        <v>88211.039066799218</v>
      </c>
      <c r="AB190" s="200">
        <f t="shared" si="135"/>
        <v>3.9682539682539679</v>
      </c>
      <c r="AC190" s="167">
        <f t="shared" si="136"/>
        <v>350043.80582063179</v>
      </c>
      <c r="AD190" s="164">
        <f>'Assumptions HR_AUN'!$F$4*'Assumptions Other_AUN'!$D$35*'Assumptions Other_AUN'!$D$36</f>
        <v>88211.039066799218</v>
      </c>
      <c r="AE190" s="200">
        <f t="shared" si="137"/>
        <v>3.9682539682539679</v>
      </c>
      <c r="AF190" s="167">
        <f t="shared" si="138"/>
        <v>350043.80582063179</v>
      </c>
      <c r="AG190" s="67"/>
    </row>
    <row r="191" spans="1:33">
      <c r="A191" s="134"/>
      <c r="B191" s="153">
        <v>7</v>
      </c>
      <c r="C191" s="121" t="s">
        <v>992</v>
      </c>
      <c r="D191" s="121" t="s">
        <v>1055</v>
      </c>
      <c r="E191" s="209"/>
      <c r="F191" s="164">
        <v>0.3</v>
      </c>
      <c r="G191" s="164">
        <f>$D$23</f>
        <v>1025</v>
      </c>
      <c r="H191" s="164">
        <f>F191*G191</f>
        <v>307.5</v>
      </c>
      <c r="I191" s="164">
        <f t="shared" ref="I191:K191" si="146">$H191*I$183</f>
        <v>153750</v>
      </c>
      <c r="J191" s="164">
        <f t="shared" si="146"/>
        <v>153750</v>
      </c>
      <c r="K191" s="164">
        <f t="shared" si="146"/>
        <v>153750</v>
      </c>
      <c r="L191" s="111"/>
      <c r="M191" s="111"/>
      <c r="N191" s="111"/>
      <c r="O191" s="111"/>
      <c r="P191" s="111"/>
      <c r="Q191" s="111"/>
      <c r="R191" s="111"/>
      <c r="S191" s="712"/>
      <c r="T191" s="169" t="s">
        <v>946</v>
      </c>
      <c r="U191" s="169" t="s">
        <v>946</v>
      </c>
      <c r="V191" s="121" t="s">
        <v>994</v>
      </c>
      <c r="W191" s="121" t="s">
        <v>789</v>
      </c>
      <c r="X191" s="170">
        <f>G191</f>
        <v>1025</v>
      </c>
      <c r="Y191" s="200">
        <f t="shared" si="133"/>
        <v>150</v>
      </c>
      <c r="Z191" s="167">
        <f t="shared" si="134"/>
        <v>153750</v>
      </c>
      <c r="AA191" s="164">
        <f>X191</f>
        <v>1025</v>
      </c>
      <c r="AB191" s="200">
        <f t="shared" si="135"/>
        <v>150</v>
      </c>
      <c r="AC191" s="167">
        <f t="shared" si="136"/>
        <v>153750</v>
      </c>
      <c r="AD191" s="164">
        <f>X191</f>
        <v>1025</v>
      </c>
      <c r="AE191" s="200">
        <f t="shared" si="137"/>
        <v>150</v>
      </c>
      <c r="AF191" s="167">
        <f t="shared" si="138"/>
        <v>153750</v>
      </c>
      <c r="AG191" s="67"/>
    </row>
    <row r="192" spans="1:33">
      <c r="A192" s="134"/>
      <c r="B192" s="153">
        <v>8</v>
      </c>
      <c r="C192" s="121" t="s">
        <v>1001</v>
      </c>
      <c r="D192" s="121"/>
      <c r="E192" s="209"/>
      <c r="F192" s="121"/>
      <c r="G192" s="185">
        <f>$C$13</f>
        <v>0.1</v>
      </c>
      <c r="H192" s="164">
        <f>SUM(H185:H191)*G192</f>
        <v>759.96752232825281</v>
      </c>
      <c r="I192" s="164">
        <f t="shared" ref="I192:K192" si="147">$H192*I$183</f>
        <v>379983.76116412639</v>
      </c>
      <c r="J192" s="164">
        <f t="shared" si="147"/>
        <v>379983.76116412639</v>
      </c>
      <c r="K192" s="164">
        <f t="shared" si="147"/>
        <v>379983.76116412639</v>
      </c>
      <c r="L192" s="111"/>
      <c r="M192" s="111"/>
      <c r="N192" s="111"/>
      <c r="O192" s="111"/>
      <c r="P192" s="111"/>
      <c r="Q192" s="111"/>
      <c r="R192" s="111"/>
      <c r="S192" s="712"/>
      <c r="T192" s="169" t="s">
        <v>946</v>
      </c>
      <c r="U192" s="169" t="s">
        <v>946</v>
      </c>
      <c r="V192" s="121" t="s">
        <v>875</v>
      </c>
      <c r="W192" s="121" t="s">
        <v>961</v>
      </c>
      <c r="X192" s="170">
        <f>'Assumptions HR_AUN'!$D$4*3</f>
        <v>88211.039066799218</v>
      </c>
      <c r="Y192" s="200">
        <f t="shared" si="133"/>
        <v>4.3076667635257939</v>
      </c>
      <c r="Z192" s="167">
        <f t="shared" si="134"/>
        <v>379983.76116412634</v>
      </c>
      <c r="AA192" s="164">
        <f>'Assumptions HR_AUN'!$D$4*3</f>
        <v>88211.039066799218</v>
      </c>
      <c r="AB192" s="200">
        <f t="shared" si="135"/>
        <v>4.3076667635257939</v>
      </c>
      <c r="AC192" s="167">
        <f t="shared" si="136"/>
        <v>379983.76116412634</v>
      </c>
      <c r="AD192" s="164">
        <f>'Assumptions HR_AUN'!$D$4*3</f>
        <v>88211.039066799218</v>
      </c>
      <c r="AE192" s="200">
        <f t="shared" si="137"/>
        <v>4.3076667635257939</v>
      </c>
      <c r="AF192" s="167">
        <f t="shared" si="138"/>
        <v>379983.76116412634</v>
      </c>
      <c r="AG192" s="67"/>
    </row>
    <row r="193" spans="1:33">
      <c r="A193" s="134"/>
      <c r="B193" s="153">
        <v>9</v>
      </c>
      <c r="C193" s="121" t="s">
        <v>962</v>
      </c>
      <c r="D193" s="121"/>
      <c r="E193" s="209"/>
      <c r="F193" s="121"/>
      <c r="G193" s="185">
        <f>$C$14</f>
        <v>0.15</v>
      </c>
      <c r="H193" s="164">
        <f>SUM(H185:H191)*G193</f>
        <v>1139.9512834923792</v>
      </c>
      <c r="I193" s="164">
        <f t="shared" ref="I193:K193" si="148">$H193*I$183</f>
        <v>569975.64174618956</v>
      </c>
      <c r="J193" s="164">
        <f t="shared" si="148"/>
        <v>569975.64174618956</v>
      </c>
      <c r="K193" s="164">
        <f t="shared" si="148"/>
        <v>569975.64174618956</v>
      </c>
      <c r="L193" s="111"/>
      <c r="M193" s="111"/>
      <c r="N193" s="111"/>
      <c r="O193" s="111"/>
      <c r="P193" s="111"/>
      <c r="Q193" s="111"/>
      <c r="R193" s="111"/>
      <c r="S193" s="712"/>
      <c r="T193" s="169" t="s">
        <v>946</v>
      </c>
      <c r="U193" s="169" t="s">
        <v>946</v>
      </c>
      <c r="V193" s="121" t="s">
        <v>881</v>
      </c>
      <c r="W193" s="121" t="s">
        <v>964</v>
      </c>
      <c r="X193" s="170">
        <f>$I$193/4</f>
        <v>142493.91043654739</v>
      </c>
      <c r="Y193" s="200">
        <f t="shared" si="133"/>
        <v>4</v>
      </c>
      <c r="Z193" s="167">
        <f t="shared" si="134"/>
        <v>569975.64174618956</v>
      </c>
      <c r="AA193" s="164">
        <f>$I$193/4</f>
        <v>142493.91043654739</v>
      </c>
      <c r="AB193" s="200">
        <f t="shared" si="135"/>
        <v>4</v>
      </c>
      <c r="AC193" s="167">
        <f t="shared" si="136"/>
        <v>569975.64174618956</v>
      </c>
      <c r="AD193" s="164">
        <f>$I$193/4</f>
        <v>142493.91043654739</v>
      </c>
      <c r="AE193" s="200">
        <f t="shared" si="137"/>
        <v>4</v>
      </c>
      <c r="AF193" s="167">
        <f t="shared" si="138"/>
        <v>569975.64174618956</v>
      </c>
      <c r="AG193" s="67"/>
    </row>
    <row r="194" spans="1:33">
      <c r="A194" s="134"/>
      <c r="B194" s="212" t="s">
        <v>770</v>
      </c>
      <c r="C194" s="212"/>
      <c r="D194" s="212"/>
      <c r="E194" s="212"/>
      <c r="F194" s="212"/>
      <c r="G194" s="178"/>
      <c r="H194" s="178">
        <f t="shared" ref="H194:K194" si="149">SUM(H185:H193)</f>
        <v>9499.5940291031584</v>
      </c>
      <c r="I194" s="178">
        <f t="shared" si="149"/>
        <v>4749797.01455158</v>
      </c>
      <c r="J194" s="178">
        <f t="shared" si="149"/>
        <v>4749797.01455158</v>
      </c>
      <c r="K194" s="178">
        <f t="shared" si="149"/>
        <v>4749797.01455158</v>
      </c>
      <c r="L194" s="111"/>
      <c r="M194" s="111"/>
      <c r="N194" s="111"/>
      <c r="O194" s="111"/>
      <c r="P194" s="111"/>
      <c r="Q194" s="111"/>
      <c r="R194" s="111"/>
      <c r="S194" s="712"/>
      <c r="T194" s="111"/>
      <c r="U194" s="111"/>
      <c r="V194" s="111"/>
      <c r="W194" s="111"/>
      <c r="X194" s="132"/>
      <c r="Y194" s="133"/>
      <c r="Z194" s="132"/>
      <c r="AA194" s="132"/>
      <c r="AB194" s="133"/>
      <c r="AC194" s="132"/>
      <c r="AD194" s="132"/>
      <c r="AE194" s="133"/>
      <c r="AF194" s="132"/>
      <c r="AG194" s="67"/>
    </row>
    <row r="195" spans="1:33">
      <c r="A195" s="9"/>
      <c r="B195" s="111"/>
      <c r="C195" s="111"/>
      <c r="D195" s="111"/>
      <c r="E195" s="111"/>
      <c r="F195" s="111"/>
      <c r="G195" s="111"/>
      <c r="H195" s="214"/>
      <c r="I195" s="214"/>
      <c r="J195" s="214"/>
      <c r="K195" s="214"/>
      <c r="L195" s="111"/>
      <c r="M195" s="111"/>
      <c r="N195" s="111"/>
      <c r="O195" s="111"/>
      <c r="P195" s="111"/>
      <c r="Q195" s="111"/>
      <c r="R195" s="111"/>
      <c r="S195" s="712"/>
      <c r="T195" s="111"/>
      <c r="U195" s="111"/>
      <c r="V195" s="111"/>
      <c r="W195" s="111"/>
      <c r="X195" s="132"/>
      <c r="Y195" s="133"/>
      <c r="Z195" s="132"/>
      <c r="AA195" s="132"/>
      <c r="AB195" s="133"/>
      <c r="AC195" s="132"/>
      <c r="AD195" s="132"/>
      <c r="AE195" s="133"/>
      <c r="AF195" s="132"/>
      <c r="AG195" s="67"/>
    </row>
    <row r="196" spans="1:33">
      <c r="A196" s="9"/>
      <c r="B196" s="111"/>
      <c r="C196" s="111"/>
      <c r="D196" s="111"/>
      <c r="E196" s="111"/>
      <c r="F196" s="111"/>
      <c r="G196" s="111"/>
      <c r="H196" s="214"/>
      <c r="I196" s="214"/>
      <c r="J196" s="214"/>
      <c r="K196" s="214"/>
      <c r="L196" s="111"/>
      <c r="M196" s="111"/>
      <c r="N196" s="111"/>
      <c r="O196" s="111"/>
      <c r="P196" s="111"/>
      <c r="Q196" s="111"/>
      <c r="R196" s="111"/>
      <c r="S196" s="712"/>
      <c r="T196" s="111"/>
      <c r="U196" s="111"/>
      <c r="V196" s="111"/>
      <c r="W196" s="111"/>
      <c r="X196" s="132"/>
      <c r="Y196" s="133"/>
      <c r="Z196" s="132"/>
      <c r="AA196" s="132"/>
      <c r="AB196" s="133"/>
      <c r="AC196" s="132"/>
      <c r="AD196" s="132"/>
      <c r="AE196" s="133"/>
      <c r="AF196" s="132"/>
      <c r="AG196" s="67"/>
    </row>
    <row r="197" spans="1:33">
      <c r="A197" s="9"/>
      <c r="B197" s="151"/>
      <c r="C197" s="215"/>
      <c r="D197" s="215"/>
      <c r="E197" s="215"/>
      <c r="F197" s="215"/>
      <c r="G197" s="215"/>
      <c r="H197" s="215"/>
      <c r="I197" s="215"/>
      <c r="J197" s="215"/>
      <c r="K197" s="215"/>
      <c r="L197" s="111"/>
      <c r="M197" s="111"/>
      <c r="N197" s="111"/>
      <c r="O197" s="111"/>
      <c r="P197" s="111"/>
      <c r="Q197" s="111"/>
      <c r="R197" s="111"/>
      <c r="S197" s="712"/>
      <c r="T197" s="111"/>
      <c r="U197" s="111"/>
      <c r="V197" s="111"/>
      <c r="W197" s="111"/>
      <c r="X197" s="132"/>
      <c r="Y197" s="133"/>
      <c r="Z197" s="132"/>
      <c r="AA197" s="132"/>
      <c r="AB197" s="133"/>
      <c r="AC197" s="132"/>
      <c r="AD197" s="132"/>
      <c r="AE197" s="133"/>
      <c r="AF197" s="132"/>
      <c r="AG197" s="67"/>
    </row>
    <row r="198" spans="1:33">
      <c r="A198" s="725">
        <v>8</v>
      </c>
      <c r="B198" s="726" t="e" vm="1">
        <f>'[2]AUN Budget'!$E$32</f>
        <v>#VALUE!</v>
      </c>
      <c r="C198" s="731"/>
      <c r="D198" s="731"/>
      <c r="E198" s="731"/>
      <c r="F198" s="731"/>
      <c r="G198" s="731"/>
      <c r="H198" s="731"/>
      <c r="I198" s="216">
        <v>500</v>
      </c>
      <c r="J198" s="216">
        <v>500</v>
      </c>
      <c r="K198" s="216">
        <v>500</v>
      </c>
      <c r="L198" s="111"/>
      <c r="M198" s="111"/>
      <c r="N198" s="111"/>
      <c r="O198" s="111"/>
      <c r="P198" s="111"/>
      <c r="Q198" s="111"/>
      <c r="R198" s="111"/>
      <c r="S198" s="712"/>
      <c r="T198" s="111"/>
      <c r="U198" s="111"/>
      <c r="V198" s="111"/>
      <c r="W198" s="111"/>
      <c r="X198" s="132"/>
      <c r="Y198" s="133"/>
      <c r="Z198" s="132"/>
      <c r="AA198" s="132"/>
      <c r="AB198" s="133"/>
      <c r="AC198" s="132"/>
      <c r="AD198" s="132"/>
      <c r="AE198" s="133"/>
      <c r="AF198" s="132"/>
      <c r="AG198" s="67"/>
    </row>
    <row r="199" spans="1:33">
      <c r="A199" s="157" t="s">
        <v>68</v>
      </c>
      <c r="B199" s="113" t="s">
        <v>755</v>
      </c>
      <c r="C199" s="113" t="s">
        <v>966</v>
      </c>
      <c r="D199" s="113" t="s">
        <v>967</v>
      </c>
      <c r="E199" s="113" t="s">
        <v>968</v>
      </c>
      <c r="F199" s="113" t="s">
        <v>969</v>
      </c>
      <c r="G199" s="113" t="s">
        <v>970</v>
      </c>
      <c r="H199" s="113" t="s">
        <v>971</v>
      </c>
      <c r="I199" s="113" t="s">
        <v>972</v>
      </c>
      <c r="J199" s="113" t="s">
        <v>973</v>
      </c>
      <c r="K199" s="113" t="s">
        <v>974</v>
      </c>
      <c r="L199" s="111"/>
      <c r="M199" s="111"/>
      <c r="N199" s="111"/>
      <c r="O199" s="182"/>
      <c r="P199" s="182"/>
      <c r="Q199" s="182"/>
      <c r="R199" s="182"/>
      <c r="S199" s="727"/>
      <c r="T199" s="159" t="s">
        <v>387</v>
      </c>
      <c r="U199" s="159" t="s">
        <v>388</v>
      </c>
      <c r="V199" s="159" t="s">
        <v>934</v>
      </c>
      <c r="W199" s="160" t="s">
        <v>935</v>
      </c>
      <c r="X199" s="161" t="s">
        <v>936</v>
      </c>
      <c r="Y199" s="162" t="s">
        <v>937</v>
      </c>
      <c r="Z199" s="161" t="s">
        <v>938</v>
      </c>
      <c r="AA199" s="161" t="s">
        <v>939</v>
      </c>
      <c r="AB199" s="162" t="s">
        <v>940</v>
      </c>
      <c r="AC199" s="161" t="s">
        <v>941</v>
      </c>
      <c r="AD199" s="161" t="s">
        <v>942</v>
      </c>
      <c r="AE199" s="162" t="s">
        <v>943</v>
      </c>
      <c r="AF199" s="161" t="s">
        <v>944</v>
      </c>
      <c r="AG199" s="67"/>
    </row>
    <row r="200" spans="1:33">
      <c r="A200" s="134"/>
      <c r="B200" s="153">
        <v>1</v>
      </c>
      <c r="C200" s="121" t="s">
        <v>978</v>
      </c>
      <c r="D200" s="121" t="s">
        <v>1048</v>
      </c>
      <c r="E200" s="209"/>
      <c r="F200" s="164">
        <f>360*0.5</f>
        <v>180</v>
      </c>
      <c r="G200" s="164">
        <f>$D$30</f>
        <v>20</v>
      </c>
      <c r="H200" s="164">
        <f>F200*G200</f>
        <v>3600</v>
      </c>
      <c r="I200" s="164">
        <f t="shared" ref="I200:K200" si="150">$H200*I$198</f>
        <v>1800000</v>
      </c>
      <c r="J200" s="164">
        <f t="shared" si="150"/>
        <v>1800000</v>
      </c>
      <c r="K200" s="164">
        <f t="shared" si="150"/>
        <v>1800000</v>
      </c>
      <c r="L200" s="111"/>
      <c r="M200" s="111"/>
      <c r="N200" s="111"/>
      <c r="O200" s="111"/>
      <c r="P200" s="111"/>
      <c r="Q200" s="111"/>
      <c r="R200" s="111"/>
      <c r="S200" s="712"/>
      <c r="T200" s="169" t="s">
        <v>946</v>
      </c>
      <c r="U200" s="169" t="s">
        <v>946</v>
      </c>
      <c r="V200" s="121" t="s">
        <v>957</v>
      </c>
      <c r="W200" s="121" t="s">
        <v>789</v>
      </c>
      <c r="X200" s="170">
        <f>$G$200</f>
        <v>20</v>
      </c>
      <c r="Y200" s="200">
        <f t="shared" ref="Y200:Y208" si="151">I200/X200</f>
        <v>90000</v>
      </c>
      <c r="Z200" s="167">
        <f t="shared" ref="Z200:Z208" si="152">X200*Y200</f>
        <v>1800000</v>
      </c>
      <c r="AA200" s="170">
        <f>$G$200</f>
        <v>20</v>
      </c>
      <c r="AB200" s="200">
        <f t="shared" ref="AB200:AB208" si="153">J200/AA200</f>
        <v>90000</v>
      </c>
      <c r="AC200" s="167">
        <f t="shared" ref="AC200:AC208" si="154">AA200*AB200</f>
        <v>1800000</v>
      </c>
      <c r="AD200" s="170">
        <f>$G$200</f>
        <v>20</v>
      </c>
      <c r="AE200" s="200">
        <f t="shared" ref="AE200:AE208" si="155">K200/AD200</f>
        <v>90000</v>
      </c>
      <c r="AF200" s="167">
        <f t="shared" ref="AF200:AF208" si="156">AD200*AE200</f>
        <v>1800000</v>
      </c>
      <c r="AG200" s="67"/>
    </row>
    <row r="201" spans="1:33">
      <c r="A201" s="134"/>
      <c r="B201" s="153">
        <v>2</v>
      </c>
      <c r="C201" s="121" t="s">
        <v>978</v>
      </c>
      <c r="D201" s="121" t="s">
        <v>1049</v>
      </c>
      <c r="E201" s="209">
        <v>0</v>
      </c>
      <c r="F201" s="164">
        <v>6</v>
      </c>
      <c r="G201" s="164">
        <f>'Assumptions HR_AUN'!$F$4</f>
        <v>175.0219029103159</v>
      </c>
      <c r="H201" s="164">
        <f>E201*F201*G201</f>
        <v>0</v>
      </c>
      <c r="I201" s="164">
        <f t="shared" ref="I201:K201" si="157">$H201*I$198</f>
        <v>0</v>
      </c>
      <c r="J201" s="164">
        <f t="shared" si="157"/>
        <v>0</v>
      </c>
      <c r="K201" s="164">
        <f t="shared" si="157"/>
        <v>0</v>
      </c>
      <c r="L201" s="111"/>
      <c r="M201" s="111"/>
      <c r="N201" s="111"/>
      <c r="O201" s="111"/>
      <c r="P201" s="111"/>
      <c r="Q201" s="111"/>
      <c r="R201" s="111"/>
      <c r="S201" s="712"/>
      <c r="T201" s="169" t="s">
        <v>946</v>
      </c>
      <c r="U201" s="169" t="s">
        <v>946</v>
      </c>
      <c r="V201" s="121" t="s">
        <v>977</v>
      </c>
      <c r="W201" s="121" t="s">
        <v>961</v>
      </c>
      <c r="X201" s="170">
        <f>$G201*$D$35*$D$36</f>
        <v>88211.039066799218</v>
      </c>
      <c r="Y201" s="200">
        <f t="shared" si="151"/>
        <v>0</v>
      </c>
      <c r="Z201" s="167">
        <f t="shared" si="152"/>
        <v>0</v>
      </c>
      <c r="AA201" s="170">
        <f>$G201*$D$35*$D$36</f>
        <v>88211.039066799218</v>
      </c>
      <c r="AB201" s="200">
        <f t="shared" si="153"/>
        <v>0</v>
      </c>
      <c r="AC201" s="167">
        <f t="shared" si="154"/>
        <v>0</v>
      </c>
      <c r="AD201" s="170">
        <f>$G201*$D$35*$D$36</f>
        <v>88211.039066799218</v>
      </c>
      <c r="AE201" s="200">
        <f t="shared" si="155"/>
        <v>0</v>
      </c>
      <c r="AF201" s="167">
        <f t="shared" si="156"/>
        <v>0</v>
      </c>
      <c r="AG201" s="67"/>
    </row>
    <row r="202" spans="1:33">
      <c r="A202" s="134"/>
      <c r="B202" s="153">
        <v>3</v>
      </c>
      <c r="C202" s="121" t="s">
        <v>997</v>
      </c>
      <c r="D202" s="121" t="s">
        <v>1050</v>
      </c>
      <c r="E202" s="209"/>
      <c r="F202" s="164">
        <v>3</v>
      </c>
      <c r="G202" s="164">
        <f>$D$32</f>
        <v>60</v>
      </c>
      <c r="H202" s="164">
        <f t="shared" ref="H202:H203" si="158">F202*G202</f>
        <v>180</v>
      </c>
      <c r="I202" s="164">
        <f t="shared" ref="I202:K202" si="159">$H202*I$198</f>
        <v>90000</v>
      </c>
      <c r="J202" s="164">
        <f t="shared" si="159"/>
        <v>90000</v>
      </c>
      <c r="K202" s="164">
        <f t="shared" si="159"/>
        <v>90000</v>
      </c>
      <c r="L202" s="111"/>
      <c r="M202" s="111"/>
      <c r="N202" s="111"/>
      <c r="O202" s="111"/>
      <c r="P202" s="111"/>
      <c r="Q202" s="111"/>
      <c r="R202" s="111"/>
      <c r="S202" s="712"/>
      <c r="T202" s="169" t="s">
        <v>946</v>
      </c>
      <c r="U202" s="169" t="s">
        <v>946</v>
      </c>
      <c r="V202" s="121" t="s">
        <v>957</v>
      </c>
      <c r="W202" s="121" t="s">
        <v>789</v>
      </c>
      <c r="X202" s="170">
        <f>$G$200</f>
        <v>20</v>
      </c>
      <c r="Y202" s="200">
        <f t="shared" si="151"/>
        <v>4500</v>
      </c>
      <c r="Z202" s="167">
        <f t="shared" si="152"/>
        <v>90000</v>
      </c>
      <c r="AA202" s="170">
        <f>$G$202</f>
        <v>60</v>
      </c>
      <c r="AB202" s="200">
        <f t="shared" si="153"/>
        <v>1500</v>
      </c>
      <c r="AC202" s="167">
        <f t="shared" si="154"/>
        <v>90000</v>
      </c>
      <c r="AD202" s="170">
        <f>$G$202</f>
        <v>60</v>
      </c>
      <c r="AE202" s="200">
        <f t="shared" si="155"/>
        <v>1500</v>
      </c>
      <c r="AF202" s="167">
        <f t="shared" si="156"/>
        <v>90000</v>
      </c>
      <c r="AG202" s="67"/>
    </row>
    <row r="203" spans="1:33">
      <c r="A203" s="134"/>
      <c r="B203" s="153">
        <v>4</v>
      </c>
      <c r="C203" s="121" t="s">
        <v>987</v>
      </c>
      <c r="D203" s="121" t="s">
        <v>1051</v>
      </c>
      <c r="E203" s="209"/>
      <c r="F203" s="164">
        <v>6</v>
      </c>
      <c r="G203" s="164">
        <f>$D$20</f>
        <v>156</v>
      </c>
      <c r="H203" s="164">
        <f t="shared" si="158"/>
        <v>936</v>
      </c>
      <c r="I203" s="164">
        <f t="shared" ref="I203:K203" si="160">$H203*I$198</f>
        <v>468000</v>
      </c>
      <c r="J203" s="164">
        <f t="shared" si="160"/>
        <v>468000</v>
      </c>
      <c r="K203" s="164">
        <f t="shared" si="160"/>
        <v>468000</v>
      </c>
      <c r="L203" s="111"/>
      <c r="M203" s="111"/>
      <c r="N203" s="111"/>
      <c r="O203" s="111"/>
      <c r="P203" s="111"/>
      <c r="Q203" s="111"/>
      <c r="R203" s="111"/>
      <c r="S203" s="712"/>
      <c r="T203" s="169" t="s">
        <v>946</v>
      </c>
      <c r="U203" s="169" t="s">
        <v>946</v>
      </c>
      <c r="V203" s="121" t="s">
        <v>989</v>
      </c>
      <c r="W203" s="121" t="s">
        <v>789</v>
      </c>
      <c r="X203" s="170">
        <f>$G$203</f>
        <v>156</v>
      </c>
      <c r="Y203" s="200">
        <f t="shared" si="151"/>
        <v>3000</v>
      </c>
      <c r="Z203" s="167">
        <f t="shared" si="152"/>
        <v>468000</v>
      </c>
      <c r="AA203" s="170">
        <f>$G$203</f>
        <v>156</v>
      </c>
      <c r="AB203" s="200">
        <f t="shared" si="153"/>
        <v>3000</v>
      </c>
      <c r="AC203" s="167">
        <f t="shared" si="154"/>
        <v>468000</v>
      </c>
      <c r="AD203" s="170">
        <f>$G$203</f>
        <v>156</v>
      </c>
      <c r="AE203" s="200">
        <f t="shared" si="155"/>
        <v>3000</v>
      </c>
      <c r="AF203" s="167">
        <f t="shared" si="156"/>
        <v>468000</v>
      </c>
      <c r="AG203" s="67"/>
    </row>
    <row r="204" spans="1:33">
      <c r="A204" s="134"/>
      <c r="B204" s="153">
        <v>5</v>
      </c>
      <c r="C204" s="121" t="s">
        <v>1052</v>
      </c>
      <c r="D204" s="121" t="s">
        <v>1056</v>
      </c>
      <c r="E204" s="209">
        <v>4</v>
      </c>
      <c r="F204" s="164">
        <v>1</v>
      </c>
      <c r="G204" s="164">
        <f>'Assumptions HR_AUN'!$F$4</f>
        <v>175.0219029103159</v>
      </c>
      <c r="H204" s="164">
        <f t="shared" ref="H204:H205" si="161">E204*F204*G204</f>
        <v>700.08761164126361</v>
      </c>
      <c r="I204" s="164">
        <f t="shared" ref="I204:K204" si="162">$H204*I$198</f>
        <v>350043.80582063179</v>
      </c>
      <c r="J204" s="164">
        <f t="shared" si="162"/>
        <v>350043.80582063179</v>
      </c>
      <c r="K204" s="164">
        <f t="shared" si="162"/>
        <v>350043.80582063179</v>
      </c>
      <c r="L204" s="111"/>
      <c r="M204" s="111"/>
      <c r="N204" s="111"/>
      <c r="O204" s="111"/>
      <c r="P204" s="111"/>
      <c r="Q204" s="111"/>
      <c r="R204" s="111"/>
      <c r="S204" s="712"/>
      <c r="T204" s="169" t="s">
        <v>946</v>
      </c>
      <c r="U204" s="169" t="s">
        <v>946</v>
      </c>
      <c r="V204" s="121" t="s">
        <v>991</v>
      </c>
      <c r="W204" s="121" t="s">
        <v>961</v>
      </c>
      <c r="X204" s="170">
        <f>'Assumptions HR_AUN'!$F$4*'Assumptions Other_AUN'!$D$35*'Assumptions Other_AUN'!$D$36</f>
        <v>88211.039066799218</v>
      </c>
      <c r="Y204" s="200">
        <f t="shared" si="151"/>
        <v>3.9682539682539679</v>
      </c>
      <c r="Z204" s="167">
        <f t="shared" si="152"/>
        <v>350043.80582063179</v>
      </c>
      <c r="AA204" s="170">
        <f>'Assumptions HR_AUN'!$F$4*'Assumptions Other_AUN'!$D$35*'Assumptions Other_AUN'!$D$36</f>
        <v>88211.039066799218</v>
      </c>
      <c r="AB204" s="200">
        <f t="shared" si="153"/>
        <v>3.9682539682539679</v>
      </c>
      <c r="AC204" s="167">
        <f t="shared" si="154"/>
        <v>350043.80582063179</v>
      </c>
      <c r="AD204" s="170">
        <f>'Assumptions HR_AUN'!$F$4*'Assumptions Other_AUN'!$D$35*'Assumptions Other_AUN'!$D$36</f>
        <v>88211.039066799218</v>
      </c>
      <c r="AE204" s="200">
        <f t="shared" si="155"/>
        <v>3.9682539682539679</v>
      </c>
      <c r="AF204" s="167">
        <f t="shared" si="156"/>
        <v>350043.80582063179</v>
      </c>
      <c r="AG204" s="67"/>
    </row>
    <row r="205" spans="1:33">
      <c r="A205" s="134"/>
      <c r="B205" s="153">
        <v>6</v>
      </c>
      <c r="C205" s="121" t="s">
        <v>1052</v>
      </c>
      <c r="D205" s="121" t="s">
        <v>1054</v>
      </c>
      <c r="E205" s="209">
        <v>4</v>
      </c>
      <c r="F205" s="164">
        <v>1</v>
      </c>
      <c r="G205" s="164">
        <f>'Assumptions HR_AUN'!$F$4</f>
        <v>175.0219029103159</v>
      </c>
      <c r="H205" s="164">
        <f t="shared" si="161"/>
        <v>700.08761164126361</v>
      </c>
      <c r="I205" s="164">
        <f t="shared" ref="I205:K205" si="163">$H205*I$198</f>
        <v>350043.80582063179</v>
      </c>
      <c r="J205" s="164">
        <f t="shared" si="163"/>
        <v>350043.80582063179</v>
      </c>
      <c r="K205" s="164">
        <f t="shared" si="163"/>
        <v>350043.80582063179</v>
      </c>
      <c r="L205" s="111"/>
      <c r="M205" s="111"/>
      <c r="N205" s="111"/>
      <c r="O205" s="111"/>
      <c r="P205" s="111"/>
      <c r="Q205" s="111"/>
      <c r="R205" s="111"/>
      <c r="S205" s="712"/>
      <c r="T205" s="169" t="s">
        <v>946</v>
      </c>
      <c r="U205" s="169" t="s">
        <v>946</v>
      </c>
      <c r="V205" s="121" t="s">
        <v>991</v>
      </c>
      <c r="W205" s="121" t="s">
        <v>961</v>
      </c>
      <c r="X205" s="170">
        <f>'Assumptions HR_AUN'!$F$4*'Assumptions Other_AUN'!$D$35*'Assumptions Other_AUN'!$D$36</f>
        <v>88211.039066799218</v>
      </c>
      <c r="Y205" s="200">
        <f t="shared" si="151"/>
        <v>3.9682539682539679</v>
      </c>
      <c r="Z205" s="167">
        <f t="shared" si="152"/>
        <v>350043.80582063179</v>
      </c>
      <c r="AA205" s="170">
        <f>'Assumptions HR_AUN'!$F$4*'Assumptions Other_AUN'!$D$35*'Assumptions Other_AUN'!$D$36</f>
        <v>88211.039066799218</v>
      </c>
      <c r="AB205" s="200">
        <f t="shared" si="153"/>
        <v>3.9682539682539679</v>
      </c>
      <c r="AC205" s="167">
        <f t="shared" si="154"/>
        <v>350043.80582063179</v>
      </c>
      <c r="AD205" s="170">
        <f>'Assumptions HR_AUN'!$F$4*'Assumptions Other_AUN'!$D$35*'Assumptions Other_AUN'!$D$36</f>
        <v>88211.039066799218</v>
      </c>
      <c r="AE205" s="200">
        <f t="shared" si="155"/>
        <v>3.9682539682539679</v>
      </c>
      <c r="AF205" s="167">
        <f t="shared" si="156"/>
        <v>350043.80582063179</v>
      </c>
      <c r="AG205" s="67"/>
    </row>
    <row r="206" spans="1:33">
      <c r="A206" s="134"/>
      <c r="B206" s="153">
        <v>7</v>
      </c>
      <c r="C206" s="121" t="s">
        <v>992</v>
      </c>
      <c r="D206" s="121" t="s">
        <v>1055</v>
      </c>
      <c r="E206" s="209"/>
      <c r="F206" s="164">
        <v>0.2</v>
      </c>
      <c r="G206" s="164">
        <f>$D$23</f>
        <v>1025</v>
      </c>
      <c r="H206" s="164">
        <f>F206*G206</f>
        <v>205</v>
      </c>
      <c r="I206" s="164">
        <f t="shared" ref="I206:K206" si="164">$H206*I$198</f>
        <v>102500</v>
      </c>
      <c r="J206" s="164">
        <f t="shared" si="164"/>
        <v>102500</v>
      </c>
      <c r="K206" s="164">
        <f t="shared" si="164"/>
        <v>102500</v>
      </c>
      <c r="L206" s="111"/>
      <c r="M206" s="111"/>
      <c r="N206" s="111"/>
      <c r="O206" s="111"/>
      <c r="P206" s="111"/>
      <c r="Q206" s="111"/>
      <c r="R206" s="111"/>
      <c r="S206" s="712"/>
      <c r="T206" s="169" t="s">
        <v>946</v>
      </c>
      <c r="U206" s="169" t="s">
        <v>946</v>
      </c>
      <c r="V206" s="121" t="s">
        <v>994</v>
      </c>
      <c r="W206" s="121" t="s">
        <v>789</v>
      </c>
      <c r="X206" s="170">
        <f>G206</f>
        <v>1025</v>
      </c>
      <c r="Y206" s="200">
        <f t="shared" si="151"/>
        <v>100</v>
      </c>
      <c r="Z206" s="167">
        <f t="shared" si="152"/>
        <v>102500</v>
      </c>
      <c r="AA206" s="170">
        <f>$G$206</f>
        <v>1025</v>
      </c>
      <c r="AB206" s="200">
        <f t="shared" si="153"/>
        <v>100</v>
      </c>
      <c r="AC206" s="167">
        <f t="shared" si="154"/>
        <v>102500</v>
      </c>
      <c r="AD206" s="170">
        <f>$G$206</f>
        <v>1025</v>
      </c>
      <c r="AE206" s="200">
        <f t="shared" si="155"/>
        <v>100</v>
      </c>
      <c r="AF206" s="167">
        <f t="shared" si="156"/>
        <v>102500</v>
      </c>
      <c r="AG206" s="67"/>
    </row>
    <row r="207" spans="1:33">
      <c r="A207" s="134"/>
      <c r="B207" s="153">
        <v>8</v>
      </c>
      <c r="C207" s="121" t="s">
        <v>1001</v>
      </c>
      <c r="D207" s="121"/>
      <c r="E207" s="209"/>
      <c r="F207" s="164"/>
      <c r="G207" s="185">
        <f>$C$13</f>
        <v>0.1</v>
      </c>
      <c r="H207" s="164">
        <f>SUM(H200:H206)*G207</f>
        <v>632.11752232825279</v>
      </c>
      <c r="I207" s="164">
        <f t="shared" ref="I207:K207" si="165">$H207*I$198</f>
        <v>316058.76116412639</v>
      </c>
      <c r="J207" s="164">
        <f t="shared" si="165"/>
        <v>316058.76116412639</v>
      </c>
      <c r="K207" s="164">
        <f t="shared" si="165"/>
        <v>316058.76116412639</v>
      </c>
      <c r="L207" s="111"/>
      <c r="M207" s="111"/>
      <c r="N207" s="111"/>
      <c r="O207" s="111"/>
      <c r="P207" s="111"/>
      <c r="Q207" s="111"/>
      <c r="R207" s="111"/>
      <c r="S207" s="712"/>
      <c r="T207" s="169" t="s">
        <v>946</v>
      </c>
      <c r="U207" s="169" t="s">
        <v>946</v>
      </c>
      <c r="V207" s="121" t="s">
        <v>875</v>
      </c>
      <c r="W207" s="121" t="s">
        <v>961</v>
      </c>
      <c r="X207" s="170">
        <f>'Assumptions HR_AUN'!$D$4*3</f>
        <v>88211.039066799218</v>
      </c>
      <c r="Y207" s="200">
        <f t="shared" si="151"/>
        <v>3.5829842217909467</v>
      </c>
      <c r="Z207" s="167">
        <f t="shared" si="152"/>
        <v>316058.76116412639</v>
      </c>
      <c r="AA207" s="170">
        <f>'Assumptions HR_AUN'!$D$4*3</f>
        <v>88211.039066799218</v>
      </c>
      <c r="AB207" s="200">
        <f t="shared" si="153"/>
        <v>3.5829842217909467</v>
      </c>
      <c r="AC207" s="167">
        <f t="shared" si="154"/>
        <v>316058.76116412639</v>
      </c>
      <c r="AD207" s="170">
        <f>'Assumptions HR_AUN'!$D$4*3</f>
        <v>88211.039066799218</v>
      </c>
      <c r="AE207" s="200">
        <f t="shared" si="155"/>
        <v>3.5829842217909467</v>
      </c>
      <c r="AF207" s="167">
        <f t="shared" si="156"/>
        <v>316058.76116412639</v>
      </c>
      <c r="AG207" s="67"/>
    </row>
    <row r="208" spans="1:33">
      <c r="A208" s="134"/>
      <c r="B208" s="153">
        <v>9</v>
      </c>
      <c r="C208" s="121" t="s">
        <v>962</v>
      </c>
      <c r="D208" s="121"/>
      <c r="E208" s="121"/>
      <c r="F208" s="164"/>
      <c r="G208" s="185">
        <f>$C$14</f>
        <v>0.15</v>
      </c>
      <c r="H208" s="164">
        <f>SUM(H200:H206)*G208</f>
        <v>948.17628349237907</v>
      </c>
      <c r="I208" s="164">
        <f t="shared" ref="I208:K208" si="166">$H208*I$198</f>
        <v>474088.14174618956</v>
      </c>
      <c r="J208" s="164">
        <f t="shared" si="166"/>
        <v>474088.14174618956</v>
      </c>
      <c r="K208" s="164">
        <f t="shared" si="166"/>
        <v>474088.14174618956</v>
      </c>
      <c r="L208" s="111"/>
      <c r="M208" s="111"/>
      <c r="N208" s="111"/>
      <c r="O208" s="111"/>
      <c r="P208" s="111"/>
      <c r="Q208" s="111"/>
      <c r="R208" s="111"/>
      <c r="S208" s="712"/>
      <c r="T208" s="169" t="s">
        <v>946</v>
      </c>
      <c r="U208" s="169" t="s">
        <v>946</v>
      </c>
      <c r="V208" s="121" t="s">
        <v>881</v>
      </c>
      <c r="W208" s="121" t="s">
        <v>964</v>
      </c>
      <c r="X208" s="170">
        <f>$I$208/4</f>
        <v>118522.03543654739</v>
      </c>
      <c r="Y208" s="200">
        <f t="shared" si="151"/>
        <v>4</v>
      </c>
      <c r="Z208" s="167">
        <f t="shared" si="152"/>
        <v>474088.14174618956</v>
      </c>
      <c r="AA208" s="170">
        <f>$I$208/4</f>
        <v>118522.03543654739</v>
      </c>
      <c r="AB208" s="200">
        <f t="shared" si="153"/>
        <v>4</v>
      </c>
      <c r="AC208" s="167">
        <f t="shared" si="154"/>
        <v>474088.14174618956</v>
      </c>
      <c r="AD208" s="170">
        <f>$I$208/4</f>
        <v>118522.03543654739</v>
      </c>
      <c r="AE208" s="200">
        <f t="shared" si="155"/>
        <v>4</v>
      </c>
      <c r="AF208" s="167">
        <f t="shared" si="156"/>
        <v>474088.14174618956</v>
      </c>
      <c r="AG208" s="67"/>
    </row>
    <row r="209" spans="1:33">
      <c r="A209" s="134"/>
      <c r="B209" s="212" t="s">
        <v>770</v>
      </c>
      <c r="C209" s="212"/>
      <c r="D209" s="212"/>
      <c r="E209" s="212"/>
      <c r="F209" s="212"/>
      <c r="G209" s="178"/>
      <c r="H209" s="178">
        <f t="shared" ref="H209:K209" si="167">SUM(H200:H208)</f>
        <v>7901.4690291031593</v>
      </c>
      <c r="I209" s="178">
        <f t="shared" si="167"/>
        <v>3950734.5145515795</v>
      </c>
      <c r="J209" s="178">
        <f t="shared" si="167"/>
        <v>3950734.5145515795</v>
      </c>
      <c r="K209" s="178">
        <f t="shared" si="167"/>
        <v>3950734.5145515795</v>
      </c>
      <c r="L209" s="111"/>
      <c r="M209" s="111"/>
      <c r="N209" s="111"/>
      <c r="O209" s="111"/>
      <c r="P209" s="111"/>
      <c r="Q209" s="111"/>
      <c r="R209" s="111"/>
      <c r="S209" s="712"/>
      <c r="T209" s="111"/>
      <c r="U209" s="111"/>
      <c r="V209" s="111"/>
      <c r="W209" s="111"/>
      <c r="X209" s="132"/>
      <c r="Y209" s="133"/>
      <c r="Z209" s="132"/>
      <c r="AA209" s="132"/>
      <c r="AB209" s="133"/>
      <c r="AC209" s="132"/>
      <c r="AD209" s="132"/>
      <c r="AE209" s="133"/>
      <c r="AF209" s="132"/>
      <c r="AG209" s="67"/>
    </row>
    <row r="210" spans="1:33">
      <c r="A210" s="9"/>
      <c r="B210" s="111"/>
      <c r="C210" s="111"/>
      <c r="D210" s="111"/>
      <c r="E210" s="111"/>
      <c r="F210" s="111"/>
      <c r="G210" s="132"/>
      <c r="H210" s="214"/>
      <c r="I210" s="111"/>
      <c r="J210" s="111"/>
      <c r="K210" s="111"/>
      <c r="L210" s="111"/>
      <c r="M210" s="111"/>
      <c r="N210" s="111"/>
      <c r="O210" s="111"/>
      <c r="P210" s="111"/>
      <c r="Q210" s="111"/>
      <c r="R210" s="111"/>
      <c r="S210" s="712"/>
      <c r="T210" s="111"/>
      <c r="U210" s="111"/>
      <c r="V210" s="111"/>
      <c r="W210" s="111"/>
      <c r="X210" s="111"/>
      <c r="Y210" s="111"/>
      <c r="Z210" s="111"/>
      <c r="AA210" s="111"/>
      <c r="AB210" s="111"/>
      <c r="AC210" s="111"/>
      <c r="AD210" s="111"/>
      <c r="AE210" s="111"/>
      <c r="AF210" s="111"/>
      <c r="AG210" s="67"/>
    </row>
    <row r="211" spans="1:33">
      <c r="A211" s="9"/>
      <c r="B211" s="180"/>
      <c r="C211" s="111"/>
      <c r="D211" s="111"/>
      <c r="E211" s="111"/>
      <c r="F211" s="111"/>
      <c r="G211" s="111"/>
      <c r="H211" s="111"/>
      <c r="I211" s="67"/>
      <c r="J211" s="67"/>
      <c r="K211" s="67"/>
      <c r="L211" s="67"/>
      <c r="M211" s="111"/>
      <c r="N211" s="111"/>
      <c r="O211" s="111"/>
      <c r="P211" s="111"/>
      <c r="Q211" s="111"/>
      <c r="R211" s="111"/>
      <c r="S211" s="712"/>
      <c r="T211" s="111"/>
      <c r="U211" s="111"/>
      <c r="V211" s="111"/>
      <c r="W211" s="111"/>
      <c r="X211" s="132"/>
      <c r="Y211" s="133"/>
      <c r="Z211" s="132"/>
      <c r="AA211" s="132"/>
      <c r="AB211" s="133"/>
      <c r="AC211" s="132"/>
      <c r="AD211" s="132"/>
      <c r="AE211" s="133"/>
      <c r="AF211" s="132"/>
      <c r="AG211" s="67"/>
    </row>
    <row r="212" spans="1:33">
      <c r="A212" s="725">
        <v>9</v>
      </c>
      <c r="B212" s="726" t="e" vm="1">
        <f>'[2]AUN Budget'!$E$37</f>
        <v>#VALUE!</v>
      </c>
      <c r="C212" s="731"/>
      <c r="D212" s="731"/>
      <c r="E212" s="731"/>
      <c r="F212" s="731"/>
      <c r="G212" s="731"/>
      <c r="H212" s="731"/>
      <c r="I212" s="216">
        <v>200</v>
      </c>
      <c r="J212" s="216">
        <v>200</v>
      </c>
      <c r="K212" s="216">
        <v>200</v>
      </c>
      <c r="L212" s="111"/>
      <c r="M212" s="111"/>
      <c r="N212" s="111"/>
      <c r="O212" s="111"/>
      <c r="P212" s="111"/>
      <c r="Q212" s="111"/>
      <c r="R212" s="111"/>
      <c r="S212" s="712"/>
      <c r="T212" s="111"/>
      <c r="U212" s="111"/>
      <c r="V212" s="111"/>
      <c r="W212" s="111"/>
      <c r="X212" s="132"/>
      <c r="Y212" s="133"/>
      <c r="Z212" s="132"/>
      <c r="AA212" s="132"/>
      <c r="AB212" s="133"/>
      <c r="AC212" s="132"/>
      <c r="AD212" s="132"/>
      <c r="AE212" s="133"/>
      <c r="AF212" s="132"/>
      <c r="AG212" s="67"/>
    </row>
    <row r="213" spans="1:33">
      <c r="A213" s="157" t="s">
        <v>70</v>
      </c>
      <c r="B213" s="113" t="s">
        <v>755</v>
      </c>
      <c r="C213" s="113" t="s">
        <v>966</v>
      </c>
      <c r="D213" s="113" t="s">
        <v>967</v>
      </c>
      <c r="E213" s="113" t="s">
        <v>968</v>
      </c>
      <c r="F213" s="113" t="s">
        <v>969</v>
      </c>
      <c r="G213" s="113" t="s">
        <v>970</v>
      </c>
      <c r="H213" s="113" t="s">
        <v>971</v>
      </c>
      <c r="I213" s="113" t="s">
        <v>972</v>
      </c>
      <c r="J213" s="113" t="s">
        <v>973</v>
      </c>
      <c r="K213" s="113" t="s">
        <v>974</v>
      </c>
      <c r="L213" s="182"/>
      <c r="M213" s="182"/>
      <c r="N213" s="182"/>
      <c r="O213" s="182"/>
      <c r="P213" s="182"/>
      <c r="Q213" s="182"/>
      <c r="R213" s="182"/>
      <c r="S213" s="727"/>
      <c r="T213" s="159" t="s">
        <v>387</v>
      </c>
      <c r="U213" s="159" t="s">
        <v>388</v>
      </c>
      <c r="V213" s="159" t="s">
        <v>934</v>
      </c>
      <c r="W213" s="160" t="s">
        <v>935</v>
      </c>
      <c r="X213" s="161" t="s">
        <v>936</v>
      </c>
      <c r="Y213" s="162" t="s">
        <v>937</v>
      </c>
      <c r="Z213" s="161" t="s">
        <v>938</v>
      </c>
      <c r="AA213" s="161" t="s">
        <v>939</v>
      </c>
      <c r="AB213" s="162" t="s">
        <v>940</v>
      </c>
      <c r="AC213" s="161" t="s">
        <v>941</v>
      </c>
      <c r="AD213" s="161" t="s">
        <v>942</v>
      </c>
      <c r="AE213" s="162" t="s">
        <v>943</v>
      </c>
      <c r="AF213" s="161" t="s">
        <v>944</v>
      </c>
      <c r="AG213" s="67"/>
    </row>
    <row r="214" spans="1:33">
      <c r="A214" s="134"/>
      <c r="B214" s="153">
        <v>1</v>
      </c>
      <c r="C214" s="121" t="s">
        <v>978</v>
      </c>
      <c r="D214" s="121" t="s">
        <v>1048</v>
      </c>
      <c r="E214" s="209">
        <v>0.5</v>
      </c>
      <c r="F214" s="164">
        <v>12</v>
      </c>
      <c r="G214" s="164">
        <f>'Assumptions HR_AUN'!$F$8</f>
        <v>80.053187003968247</v>
      </c>
      <c r="H214" s="164">
        <f t="shared" ref="H214:H215" si="168">E214*F214*G214</f>
        <v>480.31912202380948</v>
      </c>
      <c r="I214" s="164">
        <f t="shared" ref="I214:I221" si="169">$H214*$I$212</f>
        <v>96063.824404761894</v>
      </c>
      <c r="J214" s="164">
        <f t="shared" ref="J214:J221" si="170">$H214*$J$212</f>
        <v>96063.824404761894</v>
      </c>
      <c r="K214" s="164">
        <f t="shared" ref="K214:K221" si="171">$H214*$K$212</f>
        <v>96063.824404761894</v>
      </c>
      <c r="L214" s="111"/>
      <c r="M214" s="111"/>
      <c r="N214" s="111"/>
      <c r="O214" s="111"/>
      <c r="P214" s="111"/>
      <c r="Q214" s="111"/>
      <c r="R214" s="111"/>
      <c r="S214" s="712"/>
      <c r="T214" s="169" t="s">
        <v>946</v>
      </c>
      <c r="U214" s="169" t="s">
        <v>946</v>
      </c>
      <c r="V214" s="121" t="s">
        <v>977</v>
      </c>
      <c r="W214" s="121" t="s">
        <v>961</v>
      </c>
      <c r="X214" s="170">
        <f>G214*$D$35*$D$36</f>
        <v>40346.806249999994</v>
      </c>
      <c r="Y214" s="200">
        <f t="shared" ref="Y214:Y220" si="172">I214/X214</f>
        <v>2.3809523809523809</v>
      </c>
      <c r="Z214" s="167">
        <f t="shared" ref="Z214:Z221" si="173">X214*Y214</f>
        <v>96063.824404761894</v>
      </c>
      <c r="AA214" s="170">
        <f t="shared" ref="AA214:AA219" si="174">X214</f>
        <v>40346.806249999994</v>
      </c>
      <c r="AB214" s="200">
        <f t="shared" ref="AB214:AB220" si="175">J214/AA214</f>
        <v>2.3809523809523809</v>
      </c>
      <c r="AC214" s="167">
        <f t="shared" ref="AC214:AC221" si="176">AA214*AB214</f>
        <v>96063.824404761894</v>
      </c>
      <c r="AD214" s="170">
        <f t="shared" ref="AD214:AD219" si="177">AA214</f>
        <v>40346.806249999994</v>
      </c>
      <c r="AE214" s="200">
        <f t="shared" ref="AE214:AE220" si="178">K214/AD214</f>
        <v>2.3809523809523809</v>
      </c>
      <c r="AF214" s="167">
        <f t="shared" ref="AF214:AF221" si="179">AD214*AE214</f>
        <v>96063.824404761894</v>
      </c>
      <c r="AG214" s="67"/>
    </row>
    <row r="215" spans="1:33">
      <c r="A215" s="134"/>
      <c r="B215" s="153">
        <v>2</v>
      </c>
      <c r="C215" s="121" t="s">
        <v>978</v>
      </c>
      <c r="D215" s="121" t="s">
        <v>1057</v>
      </c>
      <c r="E215" s="209">
        <v>2.5</v>
      </c>
      <c r="F215" s="164">
        <v>1</v>
      </c>
      <c r="G215" s="164">
        <f>'Assumptions HR_AUN'!$F$8</f>
        <v>80.053187003968247</v>
      </c>
      <c r="H215" s="164">
        <f t="shared" si="168"/>
        <v>200.1329675099206</v>
      </c>
      <c r="I215" s="164">
        <f t="shared" si="169"/>
        <v>40026.59350198412</v>
      </c>
      <c r="J215" s="164">
        <f t="shared" si="170"/>
        <v>40026.59350198412</v>
      </c>
      <c r="K215" s="164">
        <f t="shared" si="171"/>
        <v>40026.59350198412</v>
      </c>
      <c r="L215" s="111"/>
      <c r="M215" s="111"/>
      <c r="N215" s="111"/>
      <c r="O215" s="111"/>
      <c r="P215" s="111"/>
      <c r="Q215" s="111"/>
      <c r="R215" s="111"/>
      <c r="S215" s="712"/>
      <c r="T215" s="169" t="s">
        <v>946</v>
      </c>
      <c r="U215" s="169" t="s">
        <v>946</v>
      </c>
      <c r="V215" s="121" t="s">
        <v>991</v>
      </c>
      <c r="W215" s="121" t="s">
        <v>961</v>
      </c>
      <c r="X215" s="170">
        <f>'Assumptions HR_AUN'!$F$8*'Assumptions Other_AUN'!$D$35*'Assumptions Other_AUN'!$D$36</f>
        <v>40346.806249999994</v>
      </c>
      <c r="Y215" s="200">
        <f t="shared" si="172"/>
        <v>0.99206349206349198</v>
      </c>
      <c r="Z215" s="167">
        <f t="shared" si="173"/>
        <v>40026.59350198412</v>
      </c>
      <c r="AA215" s="170">
        <f t="shared" si="174"/>
        <v>40346.806249999994</v>
      </c>
      <c r="AB215" s="200">
        <f t="shared" si="175"/>
        <v>0.99206349206349198</v>
      </c>
      <c r="AC215" s="167">
        <f t="shared" si="176"/>
        <v>40026.59350198412</v>
      </c>
      <c r="AD215" s="170">
        <f t="shared" si="177"/>
        <v>40346.806249999994</v>
      </c>
      <c r="AE215" s="200">
        <f t="shared" si="178"/>
        <v>0.99206349206349198</v>
      </c>
      <c r="AF215" s="167">
        <f t="shared" si="179"/>
        <v>40026.59350198412</v>
      </c>
      <c r="AG215" s="67"/>
    </row>
    <row r="216" spans="1:33">
      <c r="A216" s="134"/>
      <c r="B216" s="153">
        <v>3</v>
      </c>
      <c r="C216" s="121" t="s">
        <v>985</v>
      </c>
      <c r="D216" s="121" t="s">
        <v>1058</v>
      </c>
      <c r="E216" s="209"/>
      <c r="F216" s="164">
        <v>2</v>
      </c>
      <c r="G216" s="164">
        <f>$D$32</f>
        <v>60</v>
      </c>
      <c r="H216" s="164">
        <f t="shared" ref="H216:H218" si="180">F216*G216</f>
        <v>120</v>
      </c>
      <c r="I216" s="164">
        <f t="shared" si="169"/>
        <v>24000</v>
      </c>
      <c r="J216" s="164">
        <f t="shared" si="170"/>
        <v>24000</v>
      </c>
      <c r="K216" s="164">
        <f t="shared" si="171"/>
        <v>24000</v>
      </c>
      <c r="L216" s="111"/>
      <c r="M216" s="111"/>
      <c r="N216" s="111"/>
      <c r="O216" s="111"/>
      <c r="P216" s="111"/>
      <c r="Q216" s="111"/>
      <c r="R216" s="111"/>
      <c r="S216" s="712"/>
      <c r="T216" s="169" t="s">
        <v>946</v>
      </c>
      <c r="U216" s="169" t="s">
        <v>946</v>
      </c>
      <c r="V216" s="121" t="s">
        <v>957</v>
      </c>
      <c r="W216" s="121" t="s">
        <v>789</v>
      </c>
      <c r="X216" s="170">
        <f t="shared" ref="X216:X217" si="181">$G$216</f>
        <v>60</v>
      </c>
      <c r="Y216" s="200">
        <f t="shared" si="172"/>
        <v>400</v>
      </c>
      <c r="Z216" s="167">
        <f t="shared" si="173"/>
        <v>24000</v>
      </c>
      <c r="AA216" s="170">
        <f t="shared" si="174"/>
        <v>60</v>
      </c>
      <c r="AB216" s="200">
        <f t="shared" si="175"/>
        <v>400</v>
      </c>
      <c r="AC216" s="167">
        <f t="shared" si="176"/>
        <v>24000</v>
      </c>
      <c r="AD216" s="170">
        <f t="shared" si="177"/>
        <v>60</v>
      </c>
      <c r="AE216" s="200">
        <f t="shared" si="178"/>
        <v>400</v>
      </c>
      <c r="AF216" s="167">
        <f t="shared" si="179"/>
        <v>24000</v>
      </c>
      <c r="AG216" s="67"/>
    </row>
    <row r="217" spans="1:33">
      <c r="A217" s="134"/>
      <c r="B217" s="153">
        <v>4</v>
      </c>
      <c r="C217" s="121" t="s">
        <v>985</v>
      </c>
      <c r="D217" s="121" t="s">
        <v>1059</v>
      </c>
      <c r="E217" s="209"/>
      <c r="F217" s="164">
        <v>1</v>
      </c>
      <c r="G217" s="164">
        <f>$D$31</f>
        <v>798</v>
      </c>
      <c r="H217" s="164">
        <f t="shared" si="180"/>
        <v>798</v>
      </c>
      <c r="I217" s="164">
        <f t="shared" si="169"/>
        <v>159600</v>
      </c>
      <c r="J217" s="164">
        <f t="shared" si="170"/>
        <v>159600</v>
      </c>
      <c r="K217" s="164">
        <f t="shared" si="171"/>
        <v>159600</v>
      </c>
      <c r="L217" s="111"/>
      <c r="M217" s="111"/>
      <c r="N217" s="111"/>
      <c r="O217" s="111"/>
      <c r="P217" s="111"/>
      <c r="Q217" s="111"/>
      <c r="R217" s="111"/>
      <c r="S217" s="712"/>
      <c r="T217" s="169" t="s">
        <v>946</v>
      </c>
      <c r="U217" s="169" t="s">
        <v>946</v>
      </c>
      <c r="V217" s="121" t="s">
        <v>957</v>
      </c>
      <c r="W217" s="121" t="s">
        <v>789</v>
      </c>
      <c r="X217" s="170">
        <f t="shared" si="181"/>
        <v>60</v>
      </c>
      <c r="Y217" s="200">
        <f t="shared" si="172"/>
        <v>2660</v>
      </c>
      <c r="Z217" s="167">
        <f t="shared" si="173"/>
        <v>159600</v>
      </c>
      <c r="AA217" s="170">
        <f t="shared" si="174"/>
        <v>60</v>
      </c>
      <c r="AB217" s="200">
        <f t="shared" si="175"/>
        <v>2660</v>
      </c>
      <c r="AC217" s="167">
        <f t="shared" si="176"/>
        <v>159600</v>
      </c>
      <c r="AD217" s="170">
        <f t="shared" si="177"/>
        <v>60</v>
      </c>
      <c r="AE217" s="200">
        <f t="shared" si="178"/>
        <v>2660</v>
      </c>
      <c r="AF217" s="167">
        <f t="shared" si="179"/>
        <v>159600</v>
      </c>
      <c r="AG217" s="67"/>
    </row>
    <row r="218" spans="1:33">
      <c r="A218" s="134"/>
      <c r="B218" s="153">
        <v>5</v>
      </c>
      <c r="C218" s="121" t="s">
        <v>987</v>
      </c>
      <c r="D218" s="121" t="s">
        <v>1051</v>
      </c>
      <c r="E218" s="209"/>
      <c r="F218" s="164">
        <v>4</v>
      </c>
      <c r="G218" s="164">
        <v>156</v>
      </c>
      <c r="H218" s="164">
        <f t="shared" si="180"/>
        <v>624</v>
      </c>
      <c r="I218" s="164">
        <f t="shared" si="169"/>
        <v>124800</v>
      </c>
      <c r="J218" s="164">
        <f t="shared" si="170"/>
        <v>124800</v>
      </c>
      <c r="K218" s="164">
        <f t="shared" si="171"/>
        <v>124800</v>
      </c>
      <c r="L218" s="111"/>
      <c r="M218" s="111"/>
      <c r="N218" s="111"/>
      <c r="O218" s="111"/>
      <c r="P218" s="111"/>
      <c r="Q218" s="111"/>
      <c r="R218" s="111"/>
      <c r="S218" s="712"/>
      <c r="T218" s="169" t="s">
        <v>946</v>
      </c>
      <c r="U218" s="169" t="s">
        <v>946</v>
      </c>
      <c r="V218" s="121" t="s">
        <v>989</v>
      </c>
      <c r="W218" s="121" t="s">
        <v>789</v>
      </c>
      <c r="X218" s="170">
        <f>G218</f>
        <v>156</v>
      </c>
      <c r="Y218" s="200">
        <f t="shared" si="172"/>
        <v>800</v>
      </c>
      <c r="Z218" s="167">
        <f t="shared" si="173"/>
        <v>124800</v>
      </c>
      <c r="AA218" s="170">
        <f t="shared" si="174"/>
        <v>156</v>
      </c>
      <c r="AB218" s="200">
        <f t="shared" si="175"/>
        <v>800</v>
      </c>
      <c r="AC218" s="167">
        <f t="shared" si="176"/>
        <v>124800</v>
      </c>
      <c r="AD218" s="170">
        <f t="shared" si="177"/>
        <v>156</v>
      </c>
      <c r="AE218" s="200">
        <f t="shared" si="178"/>
        <v>800</v>
      </c>
      <c r="AF218" s="167">
        <f t="shared" si="179"/>
        <v>124800</v>
      </c>
      <c r="AG218" s="67"/>
    </row>
    <row r="219" spans="1:33">
      <c r="A219" s="134"/>
      <c r="B219" s="153">
        <v>6</v>
      </c>
      <c r="C219" s="121" t="s">
        <v>978</v>
      </c>
      <c r="D219" s="121" t="s">
        <v>1060</v>
      </c>
      <c r="E219" s="209">
        <v>0.3</v>
      </c>
      <c r="F219" s="164">
        <v>2</v>
      </c>
      <c r="G219" s="164">
        <f>'Assumptions HR_AUN'!$F$4</f>
        <v>175.0219029103159</v>
      </c>
      <c r="H219" s="164">
        <f>E219*F219*G219</f>
        <v>105.01314174618953</v>
      </c>
      <c r="I219" s="164">
        <f t="shared" si="169"/>
        <v>21002.628349237908</v>
      </c>
      <c r="J219" s="164">
        <f t="shared" si="170"/>
        <v>21002.628349237908</v>
      </c>
      <c r="K219" s="164">
        <f t="shared" si="171"/>
        <v>21002.628349237908</v>
      </c>
      <c r="L219" s="111"/>
      <c r="M219" s="111"/>
      <c r="N219" s="111"/>
      <c r="O219" s="111"/>
      <c r="P219" s="111"/>
      <c r="Q219" s="111"/>
      <c r="R219" s="111"/>
      <c r="S219" s="712"/>
      <c r="T219" s="169" t="s">
        <v>946</v>
      </c>
      <c r="U219" s="169" t="s">
        <v>946</v>
      </c>
      <c r="V219" s="121" t="s">
        <v>848</v>
      </c>
      <c r="W219" s="164" t="s">
        <v>947</v>
      </c>
      <c r="X219" s="170">
        <f>G219*$D$35*$D$36/20</f>
        <v>4410.5519533399611</v>
      </c>
      <c r="Y219" s="200">
        <f t="shared" si="172"/>
        <v>4.7619047619047619</v>
      </c>
      <c r="Z219" s="167">
        <f t="shared" si="173"/>
        <v>21002.628349237908</v>
      </c>
      <c r="AA219" s="170">
        <f t="shared" si="174"/>
        <v>4410.5519533399611</v>
      </c>
      <c r="AB219" s="200">
        <f t="shared" si="175"/>
        <v>4.7619047619047619</v>
      </c>
      <c r="AC219" s="167">
        <f t="shared" si="176"/>
        <v>21002.628349237908</v>
      </c>
      <c r="AD219" s="170">
        <f t="shared" si="177"/>
        <v>4410.5519533399611</v>
      </c>
      <c r="AE219" s="200">
        <f t="shared" si="178"/>
        <v>4.7619047619047619</v>
      </c>
      <c r="AF219" s="167">
        <f t="shared" si="179"/>
        <v>21002.628349237908</v>
      </c>
      <c r="AG219" s="67"/>
    </row>
    <row r="220" spans="1:33">
      <c r="A220" s="134"/>
      <c r="B220" s="153">
        <v>7</v>
      </c>
      <c r="C220" s="121" t="s">
        <v>1001</v>
      </c>
      <c r="D220" s="121"/>
      <c r="E220" s="121"/>
      <c r="F220" s="164"/>
      <c r="G220" s="185">
        <f>$C$13</f>
        <v>0.1</v>
      </c>
      <c r="H220" s="164">
        <f>SUM(H214:H219)*G220</f>
        <v>232.74652312799196</v>
      </c>
      <c r="I220" s="164">
        <f t="shared" si="169"/>
        <v>46549.304625598394</v>
      </c>
      <c r="J220" s="164">
        <f t="shared" si="170"/>
        <v>46549.304625598394</v>
      </c>
      <c r="K220" s="164">
        <f t="shared" si="171"/>
        <v>46549.304625598394</v>
      </c>
      <c r="L220" s="111"/>
      <c r="M220" s="111"/>
      <c r="N220" s="111"/>
      <c r="O220" s="111"/>
      <c r="P220" s="111"/>
      <c r="Q220" s="111"/>
      <c r="R220" s="111"/>
      <c r="S220" s="712"/>
      <c r="T220" s="169" t="s">
        <v>946</v>
      </c>
      <c r="U220" s="169" t="s">
        <v>946</v>
      </c>
      <c r="V220" s="121" t="s">
        <v>875</v>
      </c>
      <c r="W220" s="121" t="s">
        <v>961</v>
      </c>
      <c r="X220" s="170">
        <f>'Assumptions HR_AUN'!$D$4*3</f>
        <v>88211.039066799218</v>
      </c>
      <c r="Y220" s="200">
        <f t="shared" si="172"/>
        <v>0.52770384657126856</v>
      </c>
      <c r="Z220" s="167">
        <f t="shared" si="173"/>
        <v>46549.304625598394</v>
      </c>
      <c r="AA220" s="170">
        <f>'Assumptions HR_AUN'!$D$4*3</f>
        <v>88211.039066799218</v>
      </c>
      <c r="AB220" s="200">
        <f t="shared" si="175"/>
        <v>0.52770384657126856</v>
      </c>
      <c r="AC220" s="167">
        <f t="shared" si="176"/>
        <v>46549.304625598394</v>
      </c>
      <c r="AD220" s="170">
        <f>'Assumptions HR_AUN'!$D$4*3</f>
        <v>88211.039066799218</v>
      </c>
      <c r="AE220" s="200">
        <f t="shared" si="178"/>
        <v>0.52770384657126856</v>
      </c>
      <c r="AF220" s="167">
        <f t="shared" si="179"/>
        <v>46549.304625598394</v>
      </c>
      <c r="AG220" s="67"/>
    </row>
    <row r="221" spans="1:33">
      <c r="A221" s="134"/>
      <c r="B221" s="153">
        <v>8</v>
      </c>
      <c r="C221" s="121" t="s">
        <v>962</v>
      </c>
      <c r="D221" s="121"/>
      <c r="E221" s="121"/>
      <c r="F221" s="121"/>
      <c r="G221" s="185">
        <f>$C$14</f>
        <v>0.15</v>
      </c>
      <c r="H221" s="164">
        <f>SUM(H214:H219)*G221</f>
        <v>349.11978469198789</v>
      </c>
      <c r="I221" s="164">
        <f t="shared" si="169"/>
        <v>69823.956938397576</v>
      </c>
      <c r="J221" s="164">
        <f t="shared" si="170"/>
        <v>69823.956938397576</v>
      </c>
      <c r="K221" s="164">
        <f t="shared" si="171"/>
        <v>69823.956938397576</v>
      </c>
      <c r="L221" s="111"/>
      <c r="M221" s="111"/>
      <c r="N221" s="111"/>
      <c r="O221" s="111"/>
      <c r="P221" s="111"/>
      <c r="Q221" s="111"/>
      <c r="R221" s="111"/>
      <c r="S221" s="712"/>
      <c r="T221" s="169" t="s">
        <v>946</v>
      </c>
      <c r="U221" s="169" t="s">
        <v>946</v>
      </c>
      <c r="V221" s="121" t="s">
        <v>881</v>
      </c>
      <c r="W221" s="121" t="s">
        <v>964</v>
      </c>
      <c r="X221" s="170">
        <f>$I$221/4</f>
        <v>17455.989234599394</v>
      </c>
      <c r="Y221" s="200">
        <v>4</v>
      </c>
      <c r="Z221" s="167">
        <f t="shared" si="173"/>
        <v>69823.956938397576</v>
      </c>
      <c r="AA221" s="170">
        <f>X221</f>
        <v>17455.989234599394</v>
      </c>
      <c r="AB221" s="200">
        <v>4</v>
      </c>
      <c r="AC221" s="167">
        <f t="shared" si="176"/>
        <v>69823.956938397576</v>
      </c>
      <c r="AD221" s="170">
        <f>AA221</f>
        <v>17455.989234599394</v>
      </c>
      <c r="AE221" s="200">
        <v>4</v>
      </c>
      <c r="AF221" s="167">
        <f t="shared" si="179"/>
        <v>69823.956938397576</v>
      </c>
      <c r="AG221" s="67"/>
    </row>
    <row r="222" spans="1:33">
      <c r="A222" s="134"/>
      <c r="B222" s="178" t="s">
        <v>770</v>
      </c>
      <c r="C222" s="178"/>
      <c r="D222" s="178"/>
      <c r="E222" s="178"/>
      <c r="F222" s="178"/>
      <c r="G222" s="178"/>
      <c r="H222" s="178">
        <f t="shared" ref="H222:K222" si="182">SUM(H214:H221)</f>
        <v>2909.3315390998996</v>
      </c>
      <c r="I222" s="178">
        <f t="shared" si="182"/>
        <v>581866.30781997996</v>
      </c>
      <c r="J222" s="178">
        <f t="shared" si="182"/>
        <v>581866.30781997996</v>
      </c>
      <c r="K222" s="178">
        <f t="shared" si="182"/>
        <v>581866.30781997996</v>
      </c>
      <c r="L222" s="111"/>
      <c r="M222" s="111"/>
      <c r="N222" s="111"/>
      <c r="O222" s="111"/>
      <c r="P222" s="111"/>
      <c r="Q222" s="111"/>
      <c r="R222" s="111"/>
      <c r="S222" s="712"/>
      <c r="T222" s="111"/>
      <c r="U222" s="111"/>
      <c r="V222" s="111"/>
      <c r="W222" s="111"/>
      <c r="X222" s="132"/>
      <c r="Y222" s="133"/>
      <c r="Z222" s="132"/>
      <c r="AA222" s="132"/>
      <c r="AB222" s="133"/>
      <c r="AC222" s="132"/>
      <c r="AD222" s="132"/>
      <c r="AE222" s="133"/>
      <c r="AF222" s="132"/>
      <c r="AG222" s="67"/>
    </row>
    <row r="223" spans="1:33">
      <c r="A223" s="9"/>
      <c r="B223" s="111"/>
      <c r="C223" s="111"/>
      <c r="D223" s="111"/>
      <c r="E223" s="111"/>
      <c r="F223" s="111"/>
      <c r="G223" s="111"/>
      <c r="H223" s="151"/>
      <c r="I223" s="132"/>
      <c r="J223" s="132"/>
      <c r="K223" s="132"/>
      <c r="L223" s="111"/>
      <c r="M223" s="111"/>
      <c r="N223" s="111"/>
      <c r="O223" s="111"/>
      <c r="P223" s="111"/>
      <c r="Q223" s="111"/>
      <c r="R223" s="111"/>
      <c r="S223" s="712"/>
      <c r="T223" s="111"/>
      <c r="U223" s="111"/>
      <c r="V223" s="111"/>
      <c r="W223" s="111"/>
      <c r="X223" s="111"/>
      <c r="Y223" s="111"/>
      <c r="Z223" s="111"/>
      <c r="AA223" s="111"/>
      <c r="AB223" s="111"/>
      <c r="AC223" s="111"/>
      <c r="AD223" s="111"/>
      <c r="AE223" s="111"/>
      <c r="AF223" s="111"/>
      <c r="AG223" s="67"/>
    </row>
    <row r="224" spans="1:33">
      <c r="A224" s="9"/>
      <c r="B224" s="111"/>
      <c r="C224" s="111"/>
      <c r="D224" s="111"/>
      <c r="E224" s="111"/>
      <c r="F224" s="111"/>
      <c r="G224" s="111"/>
      <c r="H224" s="151"/>
      <c r="I224" s="111"/>
      <c r="J224" s="111"/>
      <c r="K224" s="111"/>
      <c r="L224" s="111"/>
      <c r="M224" s="111"/>
      <c r="N224" s="111"/>
      <c r="O224" s="111"/>
      <c r="P224" s="111"/>
      <c r="Q224" s="111"/>
      <c r="R224" s="111"/>
      <c r="S224" s="712"/>
      <c r="T224" s="111"/>
      <c r="U224" s="111"/>
      <c r="V224" s="111"/>
      <c r="W224" s="111"/>
      <c r="X224" s="111"/>
      <c r="Y224" s="111"/>
      <c r="Z224" s="111"/>
      <c r="AA224" s="111"/>
      <c r="AB224" s="111"/>
      <c r="AC224" s="111"/>
      <c r="AD224" s="111"/>
      <c r="AE224" s="111"/>
      <c r="AF224" s="111"/>
      <c r="AG224" s="67"/>
    </row>
    <row r="225" spans="1:33">
      <c r="A225" s="725">
        <v>10</v>
      </c>
      <c r="B225" s="726" t="s">
        <v>446</v>
      </c>
      <c r="C225" s="731"/>
      <c r="D225" s="731"/>
      <c r="E225" s="731"/>
      <c r="F225" s="731"/>
      <c r="G225" s="731"/>
      <c r="H225" s="731"/>
      <c r="I225" s="181">
        <v>100</v>
      </c>
      <c r="J225" s="216">
        <v>100</v>
      </c>
      <c r="K225" s="216">
        <v>100</v>
      </c>
      <c r="L225" s="111"/>
      <c r="M225" s="111"/>
      <c r="N225" s="111"/>
      <c r="O225" s="111"/>
      <c r="P225" s="111"/>
      <c r="Q225" s="111"/>
      <c r="R225" s="111"/>
      <c r="S225" s="712"/>
      <c r="T225" s="111"/>
      <c r="U225" s="111"/>
      <c r="V225" s="111"/>
      <c r="W225" s="111"/>
      <c r="X225" s="132"/>
      <c r="Y225" s="133"/>
      <c r="Z225" s="132"/>
      <c r="AA225" s="132"/>
      <c r="AB225" s="133"/>
      <c r="AC225" s="132"/>
      <c r="AD225" s="132"/>
      <c r="AE225" s="133"/>
      <c r="AF225" s="132"/>
      <c r="AG225" s="67"/>
    </row>
    <row r="226" spans="1:33">
      <c r="A226" s="134" t="s">
        <v>78</v>
      </c>
      <c r="B226" s="143" t="s">
        <v>755</v>
      </c>
      <c r="C226" s="143" t="s">
        <v>966</v>
      </c>
      <c r="D226" s="143" t="s">
        <v>967</v>
      </c>
      <c r="E226" s="143" t="s">
        <v>968</v>
      </c>
      <c r="F226" s="143" t="s">
        <v>969</v>
      </c>
      <c r="G226" s="143" t="s">
        <v>970</v>
      </c>
      <c r="H226" s="143" t="s">
        <v>971</v>
      </c>
      <c r="I226" s="113" t="s">
        <v>972</v>
      </c>
      <c r="J226" s="113" t="s">
        <v>973</v>
      </c>
      <c r="K226" s="113" t="s">
        <v>974</v>
      </c>
      <c r="L226" s="111"/>
      <c r="M226" s="111"/>
      <c r="N226" s="111"/>
      <c r="O226" s="111"/>
      <c r="P226" s="111"/>
      <c r="Q226" s="111"/>
      <c r="R226" s="111"/>
      <c r="S226" s="712"/>
      <c r="T226" s="159" t="s">
        <v>387</v>
      </c>
      <c r="U226" s="159" t="s">
        <v>388</v>
      </c>
      <c r="V226" s="159" t="s">
        <v>934</v>
      </c>
      <c r="W226" s="160" t="s">
        <v>935</v>
      </c>
      <c r="X226" s="161" t="s">
        <v>936</v>
      </c>
      <c r="Y226" s="162" t="s">
        <v>937</v>
      </c>
      <c r="Z226" s="161" t="s">
        <v>938</v>
      </c>
      <c r="AA226" s="161" t="s">
        <v>939</v>
      </c>
      <c r="AB226" s="162" t="s">
        <v>940</v>
      </c>
      <c r="AC226" s="161" t="s">
        <v>941</v>
      </c>
      <c r="AD226" s="161" t="s">
        <v>942</v>
      </c>
      <c r="AE226" s="162" t="s">
        <v>943</v>
      </c>
      <c r="AF226" s="161" t="s">
        <v>944</v>
      </c>
      <c r="AG226" s="67"/>
    </row>
    <row r="227" spans="1:33">
      <c r="A227" s="134"/>
      <c r="B227" s="153">
        <v>1</v>
      </c>
      <c r="C227" s="202" t="s">
        <v>975</v>
      </c>
      <c r="D227" s="121" t="s">
        <v>1061</v>
      </c>
      <c r="E227" s="209">
        <v>1</v>
      </c>
      <c r="F227" s="164">
        <v>12</v>
      </c>
      <c r="G227" s="164">
        <f>'Assumptions HR_AUN'!$F$8</f>
        <v>80.053187003968247</v>
      </c>
      <c r="H227" s="164">
        <f t="shared" ref="H227:H230" si="183">E227*F227*G227</f>
        <v>960.63824404761897</v>
      </c>
      <c r="I227" s="164">
        <f t="shared" ref="I227:K227" si="184">$H227*I$225</f>
        <v>96063.824404761894</v>
      </c>
      <c r="J227" s="164">
        <f t="shared" si="184"/>
        <v>96063.824404761894</v>
      </c>
      <c r="K227" s="164">
        <f t="shared" si="184"/>
        <v>96063.824404761894</v>
      </c>
      <c r="L227" s="111"/>
      <c r="M227" s="111"/>
      <c r="N227" s="111"/>
      <c r="O227" s="111"/>
      <c r="P227" s="111"/>
      <c r="Q227" s="111"/>
      <c r="R227" s="111"/>
      <c r="S227" s="712"/>
      <c r="T227" s="169" t="e">
        <f>'[2]AUN Budget'!#REF!</f>
        <v>#REF!</v>
      </c>
      <c r="U227" s="169" t="e">
        <f>'[2]AUN Budget'!#REF!</f>
        <v>#REF!</v>
      </c>
      <c r="V227" s="121" t="s">
        <v>977</v>
      </c>
      <c r="W227" s="121" t="s">
        <v>961</v>
      </c>
      <c r="X227" s="170">
        <f t="shared" ref="X227:X230" si="185">G227*$D$35*$D$36</f>
        <v>40346.806249999994</v>
      </c>
      <c r="Y227" s="200">
        <f t="shared" ref="Y227:Y239" si="186">I227/X227</f>
        <v>2.3809523809523809</v>
      </c>
      <c r="Z227" s="167">
        <f t="shared" ref="Z227:Z240" si="187">X227*Y227</f>
        <v>96063.824404761894</v>
      </c>
      <c r="AA227" s="164">
        <f t="shared" ref="AA227:AA238" si="188">X227</f>
        <v>40346.806249999994</v>
      </c>
      <c r="AB227" s="200">
        <f t="shared" ref="AB227:AB239" si="189">J227/AA227</f>
        <v>2.3809523809523809</v>
      </c>
      <c r="AC227" s="167">
        <f t="shared" ref="AC227:AC240" si="190">AA227*AB227</f>
        <v>96063.824404761894</v>
      </c>
      <c r="AD227" s="164">
        <f t="shared" ref="AD227:AD239" si="191">AA227</f>
        <v>40346.806249999994</v>
      </c>
      <c r="AE227" s="200">
        <f t="shared" ref="AE227:AE239" si="192">K227/AD227</f>
        <v>2.3809523809523809</v>
      </c>
      <c r="AF227" s="167">
        <f t="shared" ref="AF227:AF240" si="193">AD227*AE227</f>
        <v>96063.824404761894</v>
      </c>
      <c r="AG227" s="217"/>
    </row>
    <row r="228" spans="1:33">
      <c r="A228" s="134"/>
      <c r="B228" s="153">
        <v>2</v>
      </c>
      <c r="C228" s="202" t="s">
        <v>978</v>
      </c>
      <c r="D228" s="121" t="s">
        <v>1062</v>
      </c>
      <c r="E228" s="209">
        <v>1</v>
      </c>
      <c r="F228" s="164">
        <v>24</v>
      </c>
      <c r="G228" s="164">
        <f>'Assumptions HR_AUN'!$F$8</f>
        <v>80.053187003968247</v>
      </c>
      <c r="H228" s="164">
        <f t="shared" si="183"/>
        <v>1921.2764880952379</v>
      </c>
      <c r="I228" s="164">
        <f t="shared" ref="I228:K228" si="194">$H228*I$225</f>
        <v>192127.64880952379</v>
      </c>
      <c r="J228" s="164">
        <f t="shared" si="194"/>
        <v>192127.64880952379</v>
      </c>
      <c r="K228" s="164">
        <f t="shared" si="194"/>
        <v>192127.64880952379</v>
      </c>
      <c r="L228" s="111"/>
      <c r="M228" s="111"/>
      <c r="N228" s="111"/>
      <c r="O228" s="111"/>
      <c r="P228" s="111"/>
      <c r="Q228" s="111"/>
      <c r="R228" s="111"/>
      <c r="S228" s="712"/>
      <c r="T228" s="169" t="e">
        <f>'[2]AUN Budget'!#REF!</f>
        <v>#REF!</v>
      </c>
      <c r="U228" s="169" t="e">
        <f>'[2]AUN Budget'!#REF!</f>
        <v>#REF!</v>
      </c>
      <c r="V228" s="121" t="s">
        <v>977</v>
      </c>
      <c r="W228" s="121" t="s">
        <v>961</v>
      </c>
      <c r="X228" s="170">
        <f t="shared" si="185"/>
        <v>40346.806249999994</v>
      </c>
      <c r="Y228" s="200">
        <f t="shared" si="186"/>
        <v>4.7619047619047619</v>
      </c>
      <c r="Z228" s="167">
        <f t="shared" si="187"/>
        <v>192127.64880952379</v>
      </c>
      <c r="AA228" s="164">
        <f t="shared" si="188"/>
        <v>40346.806249999994</v>
      </c>
      <c r="AB228" s="200">
        <f t="shared" si="189"/>
        <v>4.7619047619047619</v>
      </c>
      <c r="AC228" s="167">
        <f t="shared" si="190"/>
        <v>192127.64880952379</v>
      </c>
      <c r="AD228" s="164">
        <f t="shared" si="191"/>
        <v>40346.806249999994</v>
      </c>
      <c r="AE228" s="200">
        <f t="shared" si="192"/>
        <v>4.7619047619047619</v>
      </c>
      <c r="AF228" s="167">
        <f t="shared" si="193"/>
        <v>192127.64880952379</v>
      </c>
      <c r="AG228" s="217"/>
    </row>
    <row r="229" spans="1:33">
      <c r="A229" s="134"/>
      <c r="B229" s="153">
        <v>3</v>
      </c>
      <c r="C229" s="202" t="s">
        <v>978</v>
      </c>
      <c r="D229" s="121" t="s">
        <v>1063</v>
      </c>
      <c r="E229" s="209">
        <v>1</v>
      </c>
      <c r="F229" s="164">
        <v>1</v>
      </c>
      <c r="G229" s="164">
        <f>'Assumptions HR_AUN'!$F$8</f>
        <v>80.053187003968247</v>
      </c>
      <c r="H229" s="164">
        <f t="shared" si="183"/>
        <v>80.053187003968247</v>
      </c>
      <c r="I229" s="164">
        <f t="shared" ref="I229:K229" si="195">$H229*I$225</f>
        <v>8005.3187003968251</v>
      </c>
      <c r="J229" s="164">
        <f t="shared" si="195"/>
        <v>8005.3187003968251</v>
      </c>
      <c r="K229" s="164">
        <f t="shared" si="195"/>
        <v>8005.3187003968251</v>
      </c>
      <c r="L229" s="111"/>
      <c r="M229" s="111"/>
      <c r="N229" s="111"/>
      <c r="O229" s="111"/>
      <c r="P229" s="111"/>
      <c r="Q229" s="111"/>
      <c r="R229" s="111"/>
      <c r="S229" s="712"/>
      <c r="T229" s="169" t="e">
        <f>'[2]AUN Budget'!#REF!</f>
        <v>#REF!</v>
      </c>
      <c r="U229" s="169" t="e">
        <f>'[2]AUN Budget'!#REF!</f>
        <v>#REF!</v>
      </c>
      <c r="V229" s="121" t="s">
        <v>977</v>
      </c>
      <c r="W229" s="121" t="s">
        <v>961</v>
      </c>
      <c r="X229" s="170">
        <f t="shared" si="185"/>
        <v>40346.806249999994</v>
      </c>
      <c r="Y229" s="200">
        <f t="shared" si="186"/>
        <v>0.19841269841269843</v>
      </c>
      <c r="Z229" s="167">
        <f t="shared" si="187"/>
        <v>8005.3187003968251</v>
      </c>
      <c r="AA229" s="164">
        <f t="shared" si="188"/>
        <v>40346.806249999994</v>
      </c>
      <c r="AB229" s="200">
        <f t="shared" si="189"/>
        <v>0.19841269841269843</v>
      </c>
      <c r="AC229" s="167">
        <f t="shared" si="190"/>
        <v>8005.3187003968251</v>
      </c>
      <c r="AD229" s="164">
        <f t="shared" si="191"/>
        <v>40346.806249999994</v>
      </c>
      <c r="AE229" s="200">
        <f t="shared" si="192"/>
        <v>0.19841269841269843</v>
      </c>
      <c r="AF229" s="167">
        <f t="shared" si="193"/>
        <v>8005.3187003968251</v>
      </c>
      <c r="AG229" s="217"/>
    </row>
    <row r="230" spans="1:33">
      <c r="A230" s="134"/>
      <c r="B230" s="153">
        <v>4</v>
      </c>
      <c r="C230" s="202" t="s">
        <v>978</v>
      </c>
      <c r="D230" s="121" t="s">
        <v>1064</v>
      </c>
      <c r="E230" s="209">
        <v>1</v>
      </c>
      <c r="F230" s="164">
        <v>2</v>
      </c>
      <c r="G230" s="164">
        <f>'Assumptions HR_AUN'!$F$8</f>
        <v>80.053187003968247</v>
      </c>
      <c r="H230" s="164">
        <f t="shared" si="183"/>
        <v>160.10637400793649</v>
      </c>
      <c r="I230" s="164">
        <f t="shared" ref="I230:K230" si="196">$H230*I$225</f>
        <v>16010.63740079365</v>
      </c>
      <c r="J230" s="164">
        <f t="shared" si="196"/>
        <v>16010.63740079365</v>
      </c>
      <c r="K230" s="164">
        <f t="shared" si="196"/>
        <v>16010.63740079365</v>
      </c>
      <c r="L230" s="111"/>
      <c r="M230" s="111"/>
      <c r="N230" s="111"/>
      <c r="O230" s="111"/>
      <c r="P230" s="111"/>
      <c r="Q230" s="111"/>
      <c r="R230" s="111"/>
      <c r="S230" s="712"/>
      <c r="T230" s="169" t="e">
        <f>'[2]AUN Budget'!#REF!</f>
        <v>#REF!</v>
      </c>
      <c r="U230" s="169" t="e">
        <f>'[2]AUN Budget'!#REF!</f>
        <v>#REF!</v>
      </c>
      <c r="V230" s="121" t="s">
        <v>977</v>
      </c>
      <c r="W230" s="121" t="s">
        <v>961</v>
      </c>
      <c r="X230" s="170">
        <f t="shared" si="185"/>
        <v>40346.806249999994</v>
      </c>
      <c r="Y230" s="200">
        <f t="shared" si="186"/>
        <v>0.39682539682539686</v>
      </c>
      <c r="Z230" s="167">
        <f t="shared" si="187"/>
        <v>16010.63740079365</v>
      </c>
      <c r="AA230" s="164">
        <f t="shared" si="188"/>
        <v>40346.806249999994</v>
      </c>
      <c r="AB230" s="200">
        <f t="shared" si="189"/>
        <v>0.39682539682539686</v>
      </c>
      <c r="AC230" s="167">
        <f t="shared" si="190"/>
        <v>16010.63740079365</v>
      </c>
      <c r="AD230" s="164">
        <f t="shared" si="191"/>
        <v>40346.806249999994</v>
      </c>
      <c r="AE230" s="200">
        <f t="shared" si="192"/>
        <v>0.39682539682539686</v>
      </c>
      <c r="AF230" s="167">
        <f t="shared" si="193"/>
        <v>16010.63740079365</v>
      </c>
      <c r="AG230" s="217"/>
    </row>
    <row r="231" spans="1:33">
      <c r="A231" s="134"/>
      <c r="B231" s="153">
        <v>5</v>
      </c>
      <c r="C231" s="202" t="s">
        <v>992</v>
      </c>
      <c r="D231" s="121" t="s">
        <v>1065</v>
      </c>
      <c r="E231" s="209"/>
      <c r="F231" s="164">
        <v>0.3</v>
      </c>
      <c r="G231" s="164">
        <f>$D$23</f>
        <v>1025</v>
      </c>
      <c r="H231" s="164">
        <f t="shared" ref="H231:H234" si="197">F231*G231</f>
        <v>307.5</v>
      </c>
      <c r="I231" s="164">
        <f t="shared" ref="I231:K231" si="198">$H231*I$225</f>
        <v>30750</v>
      </c>
      <c r="J231" s="164">
        <f t="shared" si="198"/>
        <v>30750</v>
      </c>
      <c r="K231" s="164">
        <f t="shared" si="198"/>
        <v>30750</v>
      </c>
      <c r="L231" s="111"/>
      <c r="M231" s="111"/>
      <c r="N231" s="111"/>
      <c r="O231" s="111"/>
      <c r="P231" s="111"/>
      <c r="Q231" s="111"/>
      <c r="R231" s="111"/>
      <c r="S231" s="712"/>
      <c r="T231" s="169" t="e">
        <f>'[2]AUN Budget'!#REF!</f>
        <v>#REF!</v>
      </c>
      <c r="U231" s="169" t="e">
        <f>'[2]AUN Budget'!#REF!</f>
        <v>#REF!</v>
      </c>
      <c r="V231" s="121" t="s">
        <v>994</v>
      </c>
      <c r="W231" s="121" t="s">
        <v>789</v>
      </c>
      <c r="X231" s="170">
        <f>$G$231</f>
        <v>1025</v>
      </c>
      <c r="Y231" s="200">
        <f t="shared" si="186"/>
        <v>30</v>
      </c>
      <c r="Z231" s="167">
        <f t="shared" si="187"/>
        <v>30750</v>
      </c>
      <c r="AA231" s="164">
        <f t="shared" si="188"/>
        <v>1025</v>
      </c>
      <c r="AB231" s="200">
        <f t="shared" si="189"/>
        <v>30</v>
      </c>
      <c r="AC231" s="167">
        <f t="shared" si="190"/>
        <v>30750</v>
      </c>
      <c r="AD231" s="164">
        <f t="shared" si="191"/>
        <v>1025</v>
      </c>
      <c r="AE231" s="200">
        <f t="shared" si="192"/>
        <v>30</v>
      </c>
      <c r="AF231" s="167">
        <f t="shared" si="193"/>
        <v>30750</v>
      </c>
      <c r="AG231" s="217"/>
    </row>
    <row r="232" spans="1:33">
      <c r="A232" s="134"/>
      <c r="B232" s="153">
        <v>6</v>
      </c>
      <c r="C232" s="202" t="s">
        <v>992</v>
      </c>
      <c r="D232" s="121" t="s">
        <v>1066</v>
      </c>
      <c r="E232" s="209"/>
      <c r="F232" s="164">
        <v>1</v>
      </c>
      <c r="G232" s="164">
        <f>$D$27</f>
        <v>300</v>
      </c>
      <c r="H232" s="164">
        <f t="shared" si="197"/>
        <v>300</v>
      </c>
      <c r="I232" s="164">
        <f t="shared" ref="I232:K232" si="199">$H232*I$225</f>
        <v>30000</v>
      </c>
      <c r="J232" s="164">
        <f t="shared" si="199"/>
        <v>30000</v>
      </c>
      <c r="K232" s="164">
        <f t="shared" si="199"/>
        <v>30000</v>
      </c>
      <c r="L232" s="111"/>
      <c r="M232" s="111"/>
      <c r="N232" s="111"/>
      <c r="O232" s="111"/>
      <c r="P232" s="111"/>
      <c r="Q232" s="111"/>
      <c r="R232" s="111"/>
      <c r="S232" s="712"/>
      <c r="T232" s="169" t="e">
        <f>'[2]AUN Budget'!#REF!</f>
        <v>#REF!</v>
      </c>
      <c r="U232" s="169" t="e">
        <f>'[2]AUN Budget'!#REF!</f>
        <v>#REF!</v>
      </c>
      <c r="V232" s="121" t="s">
        <v>989</v>
      </c>
      <c r="W232" s="121" t="s">
        <v>789</v>
      </c>
      <c r="X232" s="170">
        <f>$G$234</f>
        <v>244</v>
      </c>
      <c r="Y232" s="200">
        <f t="shared" si="186"/>
        <v>122.95081967213115</v>
      </c>
      <c r="Z232" s="167">
        <f t="shared" si="187"/>
        <v>30000</v>
      </c>
      <c r="AA232" s="164">
        <f t="shared" si="188"/>
        <v>244</v>
      </c>
      <c r="AB232" s="200">
        <f t="shared" si="189"/>
        <v>122.95081967213115</v>
      </c>
      <c r="AC232" s="167">
        <f t="shared" si="190"/>
        <v>30000</v>
      </c>
      <c r="AD232" s="164">
        <f t="shared" si="191"/>
        <v>244</v>
      </c>
      <c r="AE232" s="200">
        <f t="shared" si="192"/>
        <v>122.95081967213115</v>
      </c>
      <c r="AF232" s="167">
        <f t="shared" si="193"/>
        <v>30000</v>
      </c>
      <c r="AG232" s="217"/>
    </row>
    <row r="233" spans="1:33">
      <c r="A233" s="134"/>
      <c r="B233" s="153">
        <v>7</v>
      </c>
      <c r="C233" s="202" t="s">
        <v>987</v>
      </c>
      <c r="D233" s="121" t="s">
        <v>1067</v>
      </c>
      <c r="E233" s="209"/>
      <c r="F233" s="164">
        <v>0.3</v>
      </c>
      <c r="G233" s="164">
        <v>6500</v>
      </c>
      <c r="H233" s="164">
        <f t="shared" si="197"/>
        <v>1950</v>
      </c>
      <c r="I233" s="164">
        <f t="shared" ref="I233:K233" si="200">$H233*I$225</f>
        <v>195000</v>
      </c>
      <c r="J233" s="164">
        <f t="shared" si="200"/>
        <v>195000</v>
      </c>
      <c r="K233" s="164">
        <f t="shared" si="200"/>
        <v>195000</v>
      </c>
      <c r="L233" s="111"/>
      <c r="M233" s="111"/>
      <c r="N233" s="111"/>
      <c r="O233" s="111"/>
      <c r="P233" s="111"/>
      <c r="Q233" s="111"/>
      <c r="R233" s="111"/>
      <c r="S233" s="712"/>
      <c r="T233" s="169" t="e">
        <f>'[2]AUN Budget'!#REF!</f>
        <v>#REF!</v>
      </c>
      <c r="U233" s="169" t="e">
        <f>'[2]AUN Budget'!#REF!</f>
        <v>#REF!</v>
      </c>
      <c r="V233" s="121" t="s">
        <v>994</v>
      </c>
      <c r="W233" s="121" t="s">
        <v>789</v>
      </c>
      <c r="X233" s="170">
        <f>$G$231</f>
        <v>1025</v>
      </c>
      <c r="Y233" s="200">
        <f t="shared" si="186"/>
        <v>190.2439024390244</v>
      </c>
      <c r="Z233" s="167">
        <f t="shared" si="187"/>
        <v>195000</v>
      </c>
      <c r="AA233" s="164">
        <f t="shared" si="188"/>
        <v>1025</v>
      </c>
      <c r="AB233" s="200">
        <f t="shared" si="189"/>
        <v>190.2439024390244</v>
      </c>
      <c r="AC233" s="167">
        <f t="shared" si="190"/>
        <v>195000</v>
      </c>
      <c r="AD233" s="164">
        <f t="shared" si="191"/>
        <v>1025</v>
      </c>
      <c r="AE233" s="200">
        <f t="shared" si="192"/>
        <v>190.2439024390244</v>
      </c>
      <c r="AF233" s="167">
        <f t="shared" si="193"/>
        <v>195000</v>
      </c>
      <c r="AG233" s="217"/>
    </row>
    <row r="234" spans="1:33">
      <c r="A234" s="134"/>
      <c r="B234" s="153">
        <v>8</v>
      </c>
      <c r="C234" s="202" t="s">
        <v>987</v>
      </c>
      <c r="D234" s="121" t="s">
        <v>1068</v>
      </c>
      <c r="E234" s="209"/>
      <c r="F234" s="164">
        <v>12</v>
      </c>
      <c r="G234" s="164">
        <f>$D$19</f>
        <v>244</v>
      </c>
      <c r="H234" s="164">
        <f t="shared" si="197"/>
        <v>2928</v>
      </c>
      <c r="I234" s="164">
        <f t="shared" ref="I234:K234" si="201">$H234*I$225</f>
        <v>292800</v>
      </c>
      <c r="J234" s="164">
        <f t="shared" si="201"/>
        <v>292800</v>
      </c>
      <c r="K234" s="164">
        <f t="shared" si="201"/>
        <v>292800</v>
      </c>
      <c r="L234" s="111"/>
      <c r="M234" s="111"/>
      <c r="N234" s="111"/>
      <c r="O234" s="111"/>
      <c r="P234" s="111"/>
      <c r="Q234" s="111"/>
      <c r="R234" s="111"/>
      <c r="S234" s="712"/>
      <c r="T234" s="169" t="e">
        <f>'[2]AUN Budget'!#REF!</f>
        <v>#REF!</v>
      </c>
      <c r="U234" s="169" t="e">
        <f>'[2]AUN Budget'!#REF!</f>
        <v>#REF!</v>
      </c>
      <c r="V234" s="121" t="s">
        <v>989</v>
      </c>
      <c r="W234" s="121" t="s">
        <v>789</v>
      </c>
      <c r="X234" s="170">
        <f>$G$234</f>
        <v>244</v>
      </c>
      <c r="Y234" s="200">
        <f t="shared" si="186"/>
        <v>1200</v>
      </c>
      <c r="Z234" s="167">
        <f t="shared" si="187"/>
        <v>292800</v>
      </c>
      <c r="AA234" s="164">
        <f t="shared" si="188"/>
        <v>244</v>
      </c>
      <c r="AB234" s="200">
        <f t="shared" si="189"/>
        <v>1200</v>
      </c>
      <c r="AC234" s="167">
        <f t="shared" si="190"/>
        <v>292800</v>
      </c>
      <c r="AD234" s="164">
        <f t="shared" si="191"/>
        <v>244</v>
      </c>
      <c r="AE234" s="200">
        <f t="shared" si="192"/>
        <v>1200</v>
      </c>
      <c r="AF234" s="167">
        <f t="shared" si="193"/>
        <v>292800</v>
      </c>
      <c r="AG234" s="217"/>
    </row>
    <row r="235" spans="1:33">
      <c r="A235" s="134"/>
      <c r="B235" s="153">
        <v>9</v>
      </c>
      <c r="C235" s="202" t="s">
        <v>992</v>
      </c>
      <c r="D235" s="121" t="s">
        <v>1069</v>
      </c>
      <c r="E235" s="209">
        <v>0.1</v>
      </c>
      <c r="F235" s="164">
        <v>6</v>
      </c>
      <c r="G235" s="164">
        <f>'Assumptions HR_AUN'!$F$8</f>
        <v>80.053187003968247</v>
      </c>
      <c r="H235" s="164">
        <f t="shared" ref="H235:H238" si="202">E235*F235*G235</f>
        <v>48.031912202380958</v>
      </c>
      <c r="I235" s="164">
        <f t="shared" ref="I235:K235" si="203">$H235*I$225</f>
        <v>4803.1912202380954</v>
      </c>
      <c r="J235" s="164">
        <f t="shared" si="203"/>
        <v>4803.1912202380954</v>
      </c>
      <c r="K235" s="164">
        <f t="shared" si="203"/>
        <v>4803.1912202380954</v>
      </c>
      <c r="L235" s="111"/>
      <c r="M235" s="111"/>
      <c r="N235" s="111"/>
      <c r="O235" s="111"/>
      <c r="P235" s="111"/>
      <c r="Q235" s="111"/>
      <c r="R235" s="111"/>
      <c r="S235" s="712"/>
      <c r="T235" s="169" t="e">
        <f>'[2]AUN Budget'!#REF!</f>
        <v>#REF!</v>
      </c>
      <c r="U235" s="169" t="e">
        <f>'[2]AUN Budget'!#REF!</f>
        <v>#REF!</v>
      </c>
      <c r="V235" s="121" t="s">
        <v>977</v>
      </c>
      <c r="W235" s="121" t="s">
        <v>961</v>
      </c>
      <c r="X235" s="170">
        <f t="shared" ref="X235:X236" si="204">G235*$D$35*$D$36</f>
        <v>40346.806249999994</v>
      </c>
      <c r="Y235" s="200">
        <f t="shared" si="186"/>
        <v>0.11904761904761907</v>
      </c>
      <c r="Z235" s="167">
        <f t="shared" si="187"/>
        <v>4803.1912202380954</v>
      </c>
      <c r="AA235" s="164">
        <f t="shared" si="188"/>
        <v>40346.806249999994</v>
      </c>
      <c r="AB235" s="200">
        <f t="shared" si="189"/>
        <v>0.11904761904761907</v>
      </c>
      <c r="AC235" s="167">
        <f t="shared" si="190"/>
        <v>4803.1912202380954</v>
      </c>
      <c r="AD235" s="164">
        <f t="shared" si="191"/>
        <v>40346.806249999994</v>
      </c>
      <c r="AE235" s="200">
        <f t="shared" si="192"/>
        <v>0.11904761904761907</v>
      </c>
      <c r="AF235" s="167">
        <f t="shared" si="193"/>
        <v>4803.1912202380954</v>
      </c>
      <c r="AG235" s="217"/>
    </row>
    <row r="236" spans="1:33">
      <c r="A236" s="134"/>
      <c r="B236" s="153">
        <v>10</v>
      </c>
      <c r="C236" s="202" t="s">
        <v>992</v>
      </c>
      <c r="D236" s="121" t="s">
        <v>1070</v>
      </c>
      <c r="E236" s="209">
        <v>0.45</v>
      </c>
      <c r="F236" s="164">
        <v>90</v>
      </c>
      <c r="G236" s="164">
        <f>'Assumptions HR_AUN'!$F$8</f>
        <v>80.053187003968247</v>
      </c>
      <c r="H236" s="164">
        <f t="shared" si="202"/>
        <v>3242.1540736607139</v>
      </c>
      <c r="I236" s="164">
        <f t="shared" ref="I236:K236" si="205">$H236*I$225</f>
        <v>324215.40736607142</v>
      </c>
      <c r="J236" s="164">
        <f t="shared" si="205"/>
        <v>324215.40736607142</v>
      </c>
      <c r="K236" s="164">
        <f t="shared" si="205"/>
        <v>324215.40736607142</v>
      </c>
      <c r="L236" s="111"/>
      <c r="M236" s="111"/>
      <c r="N236" s="111"/>
      <c r="O236" s="111"/>
      <c r="P236" s="111"/>
      <c r="Q236" s="111"/>
      <c r="R236" s="111"/>
      <c r="S236" s="712"/>
      <c r="T236" s="169" t="e">
        <f>'[2]AUN Budget'!#REF!</f>
        <v>#REF!</v>
      </c>
      <c r="U236" s="169" t="e">
        <f>'[2]AUN Budget'!#REF!</f>
        <v>#REF!</v>
      </c>
      <c r="V236" s="121" t="s">
        <v>977</v>
      </c>
      <c r="W236" s="121" t="s">
        <v>961</v>
      </c>
      <c r="X236" s="170">
        <f t="shared" si="204"/>
        <v>40346.806249999994</v>
      </c>
      <c r="Y236" s="200">
        <f t="shared" si="186"/>
        <v>8.0357142857142865</v>
      </c>
      <c r="Z236" s="167">
        <f t="shared" si="187"/>
        <v>324215.40736607142</v>
      </c>
      <c r="AA236" s="164">
        <f t="shared" si="188"/>
        <v>40346.806249999994</v>
      </c>
      <c r="AB236" s="200">
        <f t="shared" si="189"/>
        <v>8.0357142857142865</v>
      </c>
      <c r="AC236" s="167">
        <f t="shared" si="190"/>
        <v>324215.40736607142</v>
      </c>
      <c r="AD236" s="164">
        <f t="shared" si="191"/>
        <v>40346.806249999994</v>
      </c>
      <c r="AE236" s="200">
        <f t="shared" si="192"/>
        <v>8.0357142857142865</v>
      </c>
      <c r="AF236" s="167">
        <f t="shared" si="193"/>
        <v>324215.40736607142</v>
      </c>
      <c r="AG236" s="217"/>
    </row>
    <row r="237" spans="1:33">
      <c r="A237" s="134"/>
      <c r="B237" s="153">
        <v>11</v>
      </c>
      <c r="C237" s="202" t="s">
        <v>978</v>
      </c>
      <c r="D237" s="121" t="s">
        <v>1071</v>
      </c>
      <c r="E237" s="209">
        <v>0.2</v>
      </c>
      <c r="F237" s="164">
        <v>1</v>
      </c>
      <c r="G237" s="164">
        <f>'Assumptions HR_AUN'!$F$4</f>
        <v>175.0219029103159</v>
      </c>
      <c r="H237" s="164">
        <f t="shared" si="202"/>
        <v>35.004380582063185</v>
      </c>
      <c r="I237" s="164">
        <f t="shared" ref="I237:K237" si="206">$H237*I$225</f>
        <v>3500.4380582063186</v>
      </c>
      <c r="J237" s="164">
        <f t="shared" si="206"/>
        <v>3500.4380582063186</v>
      </c>
      <c r="K237" s="164">
        <f t="shared" si="206"/>
        <v>3500.4380582063186</v>
      </c>
      <c r="L237" s="111"/>
      <c r="M237" s="111"/>
      <c r="N237" s="111"/>
      <c r="O237" s="111"/>
      <c r="P237" s="111"/>
      <c r="Q237" s="111"/>
      <c r="R237" s="111"/>
      <c r="S237" s="712"/>
      <c r="T237" s="169" t="e">
        <f>'[2]AUN Budget'!#REF!</f>
        <v>#REF!</v>
      </c>
      <c r="U237" s="169" t="e">
        <f>'[2]AUN Budget'!#REF!</f>
        <v>#REF!</v>
      </c>
      <c r="V237" s="121" t="s">
        <v>848</v>
      </c>
      <c r="W237" s="164" t="s">
        <v>947</v>
      </c>
      <c r="X237" s="170">
        <f>'Assumptions TRC_AUN'!$E$33</f>
        <v>3334</v>
      </c>
      <c r="Y237" s="200">
        <f t="shared" si="186"/>
        <v>1.0499214331752604</v>
      </c>
      <c r="Z237" s="167">
        <f t="shared" si="187"/>
        <v>3500.4380582063181</v>
      </c>
      <c r="AA237" s="164">
        <f t="shared" si="188"/>
        <v>3334</v>
      </c>
      <c r="AB237" s="200">
        <f t="shared" si="189"/>
        <v>1.0499214331752604</v>
      </c>
      <c r="AC237" s="167">
        <f t="shared" si="190"/>
        <v>3500.4380582063181</v>
      </c>
      <c r="AD237" s="164">
        <f t="shared" si="191"/>
        <v>3334</v>
      </c>
      <c r="AE237" s="200">
        <f t="shared" si="192"/>
        <v>1.0499214331752604</v>
      </c>
      <c r="AF237" s="167">
        <f t="shared" si="193"/>
        <v>3500.4380582063181</v>
      </c>
      <c r="AG237" s="217"/>
    </row>
    <row r="238" spans="1:33">
      <c r="A238" s="134"/>
      <c r="B238" s="153">
        <v>12</v>
      </c>
      <c r="C238" s="202" t="s">
        <v>978</v>
      </c>
      <c r="D238" s="121" t="s">
        <v>1072</v>
      </c>
      <c r="E238" s="209">
        <v>0.5</v>
      </c>
      <c r="F238" s="164">
        <v>6</v>
      </c>
      <c r="G238" s="164">
        <f>'Assumptions HR_AUN'!$F$4</f>
        <v>175.0219029103159</v>
      </c>
      <c r="H238" s="164">
        <f t="shared" si="202"/>
        <v>525.06570873094768</v>
      </c>
      <c r="I238" s="164">
        <f t="shared" ref="I238:K238" si="207">$H238*I$225</f>
        <v>52506.570873094766</v>
      </c>
      <c r="J238" s="164">
        <f t="shared" si="207"/>
        <v>52506.570873094766</v>
      </c>
      <c r="K238" s="164">
        <f t="shared" si="207"/>
        <v>52506.570873094766</v>
      </c>
      <c r="L238" s="111"/>
      <c r="M238" s="111"/>
      <c r="N238" s="111"/>
      <c r="O238" s="111"/>
      <c r="P238" s="111"/>
      <c r="Q238" s="111"/>
      <c r="R238" s="111"/>
      <c r="S238" s="712"/>
      <c r="T238" s="169" t="e">
        <f>'[2]AUN Budget'!#REF!</f>
        <v>#REF!</v>
      </c>
      <c r="U238" s="169" t="e">
        <f>'[2]AUN Budget'!#REF!</f>
        <v>#REF!</v>
      </c>
      <c r="V238" s="121" t="s">
        <v>848</v>
      </c>
      <c r="W238" s="164" t="s">
        <v>947</v>
      </c>
      <c r="X238" s="170">
        <f>'Assumptions TRC_AUN'!$E$33</f>
        <v>3334</v>
      </c>
      <c r="Y238" s="200">
        <f t="shared" si="186"/>
        <v>15.748821497628905</v>
      </c>
      <c r="Z238" s="167">
        <f t="shared" si="187"/>
        <v>52506.570873094766</v>
      </c>
      <c r="AA238" s="164">
        <f t="shared" si="188"/>
        <v>3334</v>
      </c>
      <c r="AB238" s="200">
        <f t="shared" si="189"/>
        <v>15.748821497628905</v>
      </c>
      <c r="AC238" s="167">
        <f t="shared" si="190"/>
        <v>52506.570873094766</v>
      </c>
      <c r="AD238" s="164">
        <f t="shared" si="191"/>
        <v>3334</v>
      </c>
      <c r="AE238" s="200">
        <f t="shared" si="192"/>
        <v>15.748821497628905</v>
      </c>
      <c r="AF238" s="167">
        <f t="shared" si="193"/>
        <v>52506.570873094766</v>
      </c>
      <c r="AG238" s="217"/>
    </row>
    <row r="239" spans="1:33">
      <c r="A239" s="134"/>
      <c r="B239" s="153">
        <v>13</v>
      </c>
      <c r="C239" s="202" t="s">
        <v>1045</v>
      </c>
      <c r="D239" s="202">
        <v>0.1</v>
      </c>
      <c r="E239" s="121"/>
      <c r="F239" s="121"/>
      <c r="G239" s="121"/>
      <c r="H239" s="164">
        <f>SUM(H227:H238)*0.1</f>
        <v>1245.783036833087</v>
      </c>
      <c r="I239" s="164">
        <f t="shared" ref="I239:K239" si="208">$H239*I$225</f>
        <v>124578.3036833087</v>
      </c>
      <c r="J239" s="164">
        <f t="shared" si="208"/>
        <v>124578.3036833087</v>
      </c>
      <c r="K239" s="164">
        <f t="shared" si="208"/>
        <v>124578.3036833087</v>
      </c>
      <c r="L239" s="111"/>
      <c r="M239" s="111"/>
      <c r="N239" s="111"/>
      <c r="O239" s="111"/>
      <c r="P239" s="111"/>
      <c r="Q239" s="111"/>
      <c r="R239" s="111"/>
      <c r="S239" s="712"/>
      <c r="T239" s="169" t="e">
        <f>'[2]AUN Budget'!#REF!</f>
        <v>#REF!</v>
      </c>
      <c r="U239" s="169" t="e">
        <f>'[2]AUN Budget'!#REF!</f>
        <v>#REF!</v>
      </c>
      <c r="V239" s="121" t="s">
        <v>875</v>
      </c>
      <c r="W239" s="121" t="s">
        <v>961</v>
      </c>
      <c r="X239" s="170">
        <f>'Assumptions HR_AUN'!$D$4*3</f>
        <v>88211.039066799218</v>
      </c>
      <c r="Y239" s="200">
        <f t="shared" si="186"/>
        <v>1.4122756630150313</v>
      </c>
      <c r="Z239" s="167">
        <f t="shared" si="187"/>
        <v>124578.3036833087</v>
      </c>
      <c r="AA239" s="170">
        <f>'Assumptions HR_AUN'!$D$4*3</f>
        <v>88211.039066799218</v>
      </c>
      <c r="AB239" s="200">
        <f t="shared" si="189"/>
        <v>1.4122756630150313</v>
      </c>
      <c r="AC239" s="167">
        <f t="shared" si="190"/>
        <v>124578.3036833087</v>
      </c>
      <c r="AD239" s="164">
        <f t="shared" si="191"/>
        <v>88211.039066799218</v>
      </c>
      <c r="AE239" s="200">
        <f t="shared" si="192"/>
        <v>1.4122756630150313</v>
      </c>
      <c r="AF239" s="167">
        <f t="shared" si="193"/>
        <v>124578.3036833087</v>
      </c>
      <c r="AG239" s="217"/>
    </row>
    <row r="240" spans="1:33">
      <c r="A240" s="134"/>
      <c r="B240" s="153">
        <v>14</v>
      </c>
      <c r="C240" s="202" t="s">
        <v>1046</v>
      </c>
      <c r="D240" s="202">
        <v>0.15</v>
      </c>
      <c r="E240" s="121"/>
      <c r="F240" s="121"/>
      <c r="G240" s="121"/>
      <c r="H240" s="164">
        <f>SUM(H227:H238)*0.15</f>
        <v>1868.67455524963</v>
      </c>
      <c r="I240" s="164">
        <f t="shared" ref="I240:K240" si="209">$H240*I$225</f>
        <v>186867.45552496301</v>
      </c>
      <c r="J240" s="164">
        <f t="shared" si="209"/>
        <v>186867.45552496301</v>
      </c>
      <c r="K240" s="164">
        <f t="shared" si="209"/>
        <v>186867.45552496301</v>
      </c>
      <c r="L240" s="111"/>
      <c r="M240" s="111"/>
      <c r="N240" s="111"/>
      <c r="O240" s="111"/>
      <c r="P240" s="111"/>
      <c r="Q240" s="111"/>
      <c r="R240" s="111"/>
      <c r="S240" s="712"/>
      <c r="T240" s="169" t="e">
        <f>'[2]AUN Budget'!#REF!</f>
        <v>#REF!</v>
      </c>
      <c r="U240" s="169" t="e">
        <f>'[2]AUN Budget'!#REF!</f>
        <v>#REF!</v>
      </c>
      <c r="V240" s="121" t="s">
        <v>881</v>
      </c>
      <c r="W240" s="121" t="s">
        <v>964</v>
      </c>
      <c r="X240" s="170">
        <f>I240/4</f>
        <v>46716.863881240752</v>
      </c>
      <c r="Y240" s="200">
        <v>4</v>
      </c>
      <c r="Z240" s="167">
        <f t="shared" si="187"/>
        <v>186867.45552496301</v>
      </c>
      <c r="AA240" s="164">
        <f>J240/4</f>
        <v>46716.863881240752</v>
      </c>
      <c r="AB240" s="200">
        <v>4</v>
      </c>
      <c r="AC240" s="167">
        <f t="shared" si="190"/>
        <v>186867.45552496301</v>
      </c>
      <c r="AD240" s="164">
        <f>K240/4</f>
        <v>46716.863881240752</v>
      </c>
      <c r="AE240" s="200">
        <v>4</v>
      </c>
      <c r="AF240" s="167">
        <f t="shared" si="193"/>
        <v>186867.45552496301</v>
      </c>
      <c r="AG240" s="217"/>
    </row>
    <row r="241" spans="1:33">
      <c r="A241" s="134"/>
      <c r="B241" s="212"/>
      <c r="C241" s="212" t="s">
        <v>1047</v>
      </c>
      <c r="D241" s="212"/>
      <c r="E241" s="212"/>
      <c r="F241" s="212"/>
      <c r="G241" s="212"/>
      <c r="H241" s="178">
        <f t="shared" ref="H241:K241" si="210">SUM(H227:H240)</f>
        <v>15572.287960413585</v>
      </c>
      <c r="I241" s="178">
        <f t="shared" si="210"/>
        <v>1557228.7960413585</v>
      </c>
      <c r="J241" s="178">
        <f t="shared" si="210"/>
        <v>1557228.7960413585</v>
      </c>
      <c r="K241" s="178">
        <f t="shared" si="210"/>
        <v>1557228.7960413585</v>
      </c>
      <c r="L241" s="111"/>
      <c r="M241" s="111"/>
      <c r="N241" s="111"/>
      <c r="O241" s="111"/>
      <c r="P241" s="111"/>
      <c r="Q241" s="111"/>
      <c r="R241" s="111"/>
      <c r="S241" s="712"/>
      <c r="T241" s="111"/>
      <c r="U241" s="111"/>
      <c r="V241" s="111"/>
      <c r="W241" s="111"/>
      <c r="X241" s="132"/>
      <c r="Y241" s="133"/>
      <c r="Z241" s="132"/>
      <c r="AA241" s="132"/>
      <c r="AB241" s="133"/>
      <c r="AC241" s="132"/>
      <c r="AD241" s="132"/>
      <c r="AE241" s="133"/>
      <c r="AF241" s="132"/>
      <c r="AG241" s="67"/>
    </row>
    <row r="242" spans="1:33">
      <c r="A242" s="9"/>
      <c r="B242" s="111"/>
      <c r="C242" s="111"/>
      <c r="D242" s="111"/>
      <c r="E242" s="111"/>
      <c r="F242" s="111"/>
      <c r="G242" s="111"/>
      <c r="H242" s="151"/>
      <c r="I242" s="151"/>
      <c r="J242" s="151"/>
      <c r="K242" s="151"/>
      <c r="L242" s="111"/>
      <c r="M242" s="111"/>
      <c r="N242" s="111"/>
      <c r="O242" s="111"/>
      <c r="P242" s="111"/>
      <c r="Q242" s="111"/>
      <c r="R242" s="111"/>
      <c r="S242" s="712"/>
      <c r="T242" s="111"/>
      <c r="U242" s="111"/>
      <c r="V242" s="111"/>
      <c r="W242" s="111"/>
      <c r="X242" s="111"/>
      <c r="Y242" s="111"/>
      <c r="Z242" s="111"/>
      <c r="AA242" s="111"/>
      <c r="AB242" s="111"/>
      <c r="AC242" s="111"/>
      <c r="AD242" s="111"/>
      <c r="AE242" s="111"/>
      <c r="AF242" s="111"/>
      <c r="AG242" s="67"/>
    </row>
    <row r="243" spans="1:33">
      <c r="A243" s="9"/>
      <c r="B243" s="111"/>
      <c r="C243" s="111"/>
      <c r="D243" s="111"/>
      <c r="E243" s="111"/>
      <c r="F243" s="111"/>
      <c r="G243" s="111"/>
      <c r="H243" s="151"/>
      <c r="I243" s="111"/>
      <c r="J243" s="111"/>
      <c r="K243" s="111"/>
      <c r="L243" s="111"/>
      <c r="M243" s="111"/>
      <c r="N243" s="111"/>
      <c r="O243" s="111"/>
      <c r="P243" s="111"/>
      <c r="Q243" s="111"/>
      <c r="R243" s="111"/>
      <c r="S243" s="712"/>
      <c r="T243" s="111"/>
      <c r="U243" s="111"/>
      <c r="V243" s="111"/>
      <c r="W243" s="111"/>
      <c r="X243" s="111"/>
      <c r="Y243" s="111"/>
      <c r="Z243" s="111"/>
      <c r="AA243" s="111"/>
      <c r="AB243" s="111"/>
      <c r="AC243" s="111"/>
      <c r="AD243" s="111"/>
      <c r="AE243" s="111"/>
      <c r="AF243" s="111"/>
      <c r="AG243" s="67"/>
    </row>
    <row r="244" spans="1:33">
      <c r="A244" s="9"/>
      <c r="B244" s="111"/>
      <c r="C244" s="111"/>
      <c r="D244" s="111"/>
      <c r="E244" s="111"/>
      <c r="F244" s="111"/>
      <c r="G244" s="111"/>
      <c r="H244" s="151"/>
      <c r="I244" s="111"/>
      <c r="J244" s="111"/>
      <c r="K244" s="111"/>
      <c r="L244" s="111"/>
      <c r="M244" s="111"/>
      <c r="N244" s="111"/>
      <c r="O244" s="111"/>
      <c r="P244" s="111"/>
      <c r="Q244" s="111"/>
      <c r="R244" s="111"/>
      <c r="S244" s="712"/>
      <c r="T244" s="111"/>
      <c r="U244" s="111"/>
      <c r="V244" s="111"/>
      <c r="W244" s="111"/>
      <c r="X244" s="111"/>
      <c r="Y244" s="111"/>
      <c r="Z244" s="111"/>
      <c r="AA244" s="111"/>
      <c r="AB244" s="111"/>
      <c r="AC244" s="111"/>
      <c r="AD244" s="111"/>
      <c r="AE244" s="111"/>
      <c r="AF244" s="111"/>
      <c r="AG244" s="67"/>
    </row>
    <row r="245" spans="1:33">
      <c r="A245" s="9"/>
      <c r="B245" s="111"/>
      <c r="C245" s="111"/>
      <c r="D245" s="111"/>
      <c r="E245" s="111"/>
      <c r="F245" s="111"/>
      <c r="G245" s="111"/>
      <c r="H245" s="151"/>
      <c r="I245" s="111"/>
      <c r="J245" s="111"/>
      <c r="K245" s="111"/>
      <c r="L245" s="111"/>
      <c r="M245" s="111"/>
      <c r="N245" s="111"/>
      <c r="O245" s="111"/>
      <c r="P245" s="111"/>
      <c r="Q245" s="111"/>
      <c r="R245" s="111"/>
      <c r="S245" s="712"/>
      <c r="T245" s="111"/>
      <c r="U245" s="111"/>
      <c r="V245" s="111"/>
      <c r="W245" s="111"/>
      <c r="X245" s="111"/>
      <c r="Y245" s="111"/>
      <c r="Z245" s="111"/>
      <c r="AA245" s="111"/>
      <c r="AB245" s="111"/>
      <c r="AC245" s="111"/>
      <c r="AD245" s="111"/>
      <c r="AE245" s="111"/>
      <c r="AF245" s="111"/>
      <c r="AG245" s="67"/>
    </row>
    <row r="246" spans="1:33">
      <c r="A246" s="725">
        <v>11</v>
      </c>
      <c r="B246" s="726" t="e" vm="1">
        <f>'[2]AUN Budget'!$E$42</f>
        <v>#VALUE!</v>
      </c>
      <c r="C246" s="731"/>
      <c r="D246" s="731"/>
      <c r="E246" s="731"/>
      <c r="F246" s="731"/>
      <c r="G246" s="731"/>
      <c r="H246" s="731"/>
      <c r="I246" s="216">
        <v>6260</v>
      </c>
      <c r="J246" s="216">
        <v>3890</v>
      </c>
      <c r="K246" s="216">
        <v>2540</v>
      </c>
      <c r="L246" s="111"/>
      <c r="M246" s="111"/>
      <c r="N246" s="111"/>
      <c r="O246" s="111"/>
      <c r="P246" s="111"/>
      <c r="Q246" s="111"/>
      <c r="R246" s="111"/>
      <c r="S246" s="712"/>
      <c r="T246" s="111"/>
      <c r="U246" s="111"/>
      <c r="V246" s="111"/>
      <c r="W246" s="111"/>
      <c r="X246" s="132"/>
      <c r="Y246" s="133"/>
      <c r="Z246" s="132"/>
      <c r="AA246" s="132"/>
      <c r="AB246" s="133"/>
      <c r="AC246" s="132"/>
      <c r="AD246" s="132"/>
      <c r="AE246" s="133"/>
      <c r="AF246" s="132"/>
      <c r="AG246" s="67"/>
    </row>
    <row r="247" spans="1:33">
      <c r="A247" s="134" t="s">
        <v>18</v>
      </c>
      <c r="B247" s="143" t="s">
        <v>755</v>
      </c>
      <c r="C247" s="143" t="s">
        <v>966</v>
      </c>
      <c r="D247" s="143" t="s">
        <v>967</v>
      </c>
      <c r="E247" s="143" t="s">
        <v>968</v>
      </c>
      <c r="F247" s="143" t="s">
        <v>969</v>
      </c>
      <c r="G247" s="143" t="s">
        <v>970</v>
      </c>
      <c r="H247" s="143" t="s">
        <v>971</v>
      </c>
      <c r="I247" s="113" t="s">
        <v>972</v>
      </c>
      <c r="J247" s="113" t="s">
        <v>973</v>
      </c>
      <c r="K247" s="113" t="s">
        <v>974</v>
      </c>
      <c r="L247" s="111"/>
      <c r="M247" s="111"/>
      <c r="N247" s="111"/>
      <c r="O247" s="111"/>
      <c r="P247" s="111"/>
      <c r="Q247" s="111"/>
      <c r="R247" s="111"/>
      <c r="S247" s="712"/>
      <c r="T247" s="159" t="s">
        <v>387</v>
      </c>
      <c r="U247" s="159" t="s">
        <v>388</v>
      </c>
      <c r="V247" s="159" t="s">
        <v>934</v>
      </c>
      <c r="W247" s="160" t="s">
        <v>935</v>
      </c>
      <c r="X247" s="161" t="s">
        <v>936</v>
      </c>
      <c r="Y247" s="162" t="s">
        <v>937</v>
      </c>
      <c r="Z247" s="161" t="s">
        <v>938</v>
      </c>
      <c r="AA247" s="161" t="s">
        <v>939</v>
      </c>
      <c r="AB247" s="162" t="s">
        <v>940</v>
      </c>
      <c r="AC247" s="161" t="s">
        <v>941</v>
      </c>
      <c r="AD247" s="161" t="s">
        <v>942</v>
      </c>
      <c r="AE247" s="162" t="s">
        <v>943</v>
      </c>
      <c r="AF247" s="161" t="s">
        <v>944</v>
      </c>
      <c r="AG247" s="67"/>
    </row>
    <row r="248" spans="1:33">
      <c r="A248" s="134"/>
      <c r="B248" s="153">
        <v>1</v>
      </c>
      <c r="C248" s="202" t="s">
        <v>978</v>
      </c>
      <c r="D248" s="121" t="s">
        <v>1073</v>
      </c>
      <c r="E248" s="209">
        <v>0.2</v>
      </c>
      <c r="F248" s="164">
        <v>1</v>
      </c>
      <c r="G248" s="164">
        <f>'Assumptions HR_AUN'!$F$8</f>
        <v>80.053187003968247</v>
      </c>
      <c r="H248" s="164">
        <f t="shared" ref="H248:H251" si="211">E248*F248*G248</f>
        <v>16.010637400793652</v>
      </c>
      <c r="I248" s="164">
        <f t="shared" ref="I248:K248" si="212">$H248*I$246</f>
        <v>100226.59012896827</v>
      </c>
      <c r="J248" s="164">
        <f t="shared" si="212"/>
        <v>62281.379489087303</v>
      </c>
      <c r="K248" s="164">
        <f t="shared" si="212"/>
        <v>40667.018998015876</v>
      </c>
      <c r="L248" s="111"/>
      <c r="M248" s="111"/>
      <c r="N248" s="111"/>
      <c r="O248" s="111"/>
      <c r="P248" s="111"/>
      <c r="Q248" s="111"/>
      <c r="R248" s="111"/>
      <c r="S248" s="712"/>
      <c r="T248" s="169" t="s">
        <v>946</v>
      </c>
      <c r="U248" s="169" t="s">
        <v>946</v>
      </c>
      <c r="V248" s="121" t="s">
        <v>977</v>
      </c>
      <c r="W248" s="121" t="s">
        <v>961</v>
      </c>
      <c r="X248" s="170">
        <f t="shared" ref="X248:X251" si="213">G248*$D$35*$D$36</f>
        <v>40346.806249999994</v>
      </c>
      <c r="Y248" s="200">
        <f t="shared" ref="Y248:Y259" si="214">I248/X248</f>
        <v>2.4841269841269846</v>
      </c>
      <c r="Z248" s="167">
        <f t="shared" ref="Z248:Z260" si="215">X248*Y248</f>
        <v>100226.59012896827</v>
      </c>
      <c r="AA248" s="164">
        <f t="shared" ref="AA248:AA258" si="216">X248</f>
        <v>40346.806249999994</v>
      </c>
      <c r="AB248" s="200">
        <f t="shared" ref="AB248:AB259" si="217">J248/AA248</f>
        <v>1.5436507936507939</v>
      </c>
      <c r="AC248" s="167">
        <f t="shared" ref="AC248:AC260" si="218">AA248*AB248</f>
        <v>62281.379489087303</v>
      </c>
      <c r="AD248" s="164">
        <f t="shared" ref="AD248:AD259" si="219">AA248</f>
        <v>40346.806249999994</v>
      </c>
      <c r="AE248" s="200">
        <f t="shared" ref="AE248:AE259" si="220">K248/AD248</f>
        <v>1.0079365079365081</v>
      </c>
      <c r="AF248" s="167">
        <f t="shared" ref="AF248:AF260" si="221">AD248*AE248</f>
        <v>40667.018998015876</v>
      </c>
      <c r="AG248" s="67"/>
    </row>
    <row r="249" spans="1:33">
      <c r="A249" s="134"/>
      <c r="B249" s="153">
        <v>2</v>
      </c>
      <c r="C249" s="202" t="s">
        <v>978</v>
      </c>
      <c r="D249" s="121" t="s">
        <v>1074</v>
      </c>
      <c r="E249" s="209">
        <v>0.3</v>
      </c>
      <c r="F249" s="164">
        <v>0.4</v>
      </c>
      <c r="G249" s="164">
        <f>'Assumptions HR_AUN'!$F$8</f>
        <v>80.053187003968247</v>
      </c>
      <c r="H249" s="164">
        <f t="shared" si="211"/>
        <v>9.6063824404761888</v>
      </c>
      <c r="I249" s="164">
        <f t="shared" ref="I249:K249" si="222">$H249*I$246</f>
        <v>60135.954077380942</v>
      </c>
      <c r="J249" s="164">
        <f t="shared" si="222"/>
        <v>37368.827693452375</v>
      </c>
      <c r="K249" s="164">
        <f t="shared" si="222"/>
        <v>24400.211398809519</v>
      </c>
      <c r="L249" s="111"/>
      <c r="M249" s="111"/>
      <c r="N249" s="111"/>
      <c r="O249" s="111"/>
      <c r="P249" s="111"/>
      <c r="Q249" s="111"/>
      <c r="R249" s="111"/>
      <c r="S249" s="712"/>
      <c r="T249" s="169" t="s">
        <v>946</v>
      </c>
      <c r="U249" s="169" t="s">
        <v>946</v>
      </c>
      <c r="V249" s="121" t="s">
        <v>977</v>
      </c>
      <c r="W249" s="121" t="s">
        <v>961</v>
      </c>
      <c r="X249" s="170">
        <f t="shared" si="213"/>
        <v>40346.806249999994</v>
      </c>
      <c r="Y249" s="200">
        <f t="shared" si="214"/>
        <v>1.4904761904761905</v>
      </c>
      <c r="Z249" s="167">
        <f t="shared" si="215"/>
        <v>60135.954077380942</v>
      </c>
      <c r="AA249" s="164">
        <f t="shared" si="216"/>
        <v>40346.806249999994</v>
      </c>
      <c r="AB249" s="200">
        <f t="shared" si="217"/>
        <v>0.92619047619047612</v>
      </c>
      <c r="AC249" s="167">
        <f t="shared" si="218"/>
        <v>37368.827693452375</v>
      </c>
      <c r="AD249" s="164">
        <f t="shared" si="219"/>
        <v>40346.806249999994</v>
      </c>
      <c r="AE249" s="200">
        <f t="shared" si="220"/>
        <v>0.60476190476190472</v>
      </c>
      <c r="AF249" s="167">
        <f t="shared" si="221"/>
        <v>24400.211398809519</v>
      </c>
      <c r="AG249" s="67"/>
    </row>
    <row r="250" spans="1:33">
      <c r="A250" s="134"/>
      <c r="B250" s="153">
        <v>3</v>
      </c>
      <c r="C250" s="202" t="s">
        <v>975</v>
      </c>
      <c r="D250" s="121" t="s">
        <v>1075</v>
      </c>
      <c r="E250" s="209">
        <v>0.2</v>
      </c>
      <c r="F250" s="164">
        <v>2</v>
      </c>
      <c r="G250" s="164">
        <f>'Assumptions HR_AUN'!$F$8</f>
        <v>80.053187003968247</v>
      </c>
      <c r="H250" s="164">
        <f t="shared" si="211"/>
        <v>32.021274801587303</v>
      </c>
      <c r="I250" s="164">
        <f t="shared" ref="I250:K250" si="223">$H250*I$246</f>
        <v>200453.18025793653</v>
      </c>
      <c r="J250" s="164">
        <f t="shared" si="223"/>
        <v>124562.75897817461</v>
      </c>
      <c r="K250" s="164">
        <f t="shared" si="223"/>
        <v>81334.037996031751</v>
      </c>
      <c r="L250" s="111"/>
      <c r="M250" s="111"/>
      <c r="N250" s="111"/>
      <c r="O250" s="111"/>
      <c r="P250" s="111"/>
      <c r="Q250" s="111"/>
      <c r="R250" s="111"/>
      <c r="S250" s="712"/>
      <c r="T250" s="169" t="s">
        <v>946</v>
      </c>
      <c r="U250" s="169" t="s">
        <v>946</v>
      </c>
      <c r="V250" s="121" t="s">
        <v>977</v>
      </c>
      <c r="W250" s="121" t="s">
        <v>961</v>
      </c>
      <c r="X250" s="170">
        <f t="shared" si="213"/>
        <v>40346.806249999994</v>
      </c>
      <c r="Y250" s="200">
        <f t="shared" si="214"/>
        <v>4.9682539682539693</v>
      </c>
      <c r="Z250" s="167">
        <f t="shared" si="215"/>
        <v>200453.18025793653</v>
      </c>
      <c r="AA250" s="164">
        <f t="shared" si="216"/>
        <v>40346.806249999994</v>
      </c>
      <c r="AB250" s="200">
        <f t="shared" si="217"/>
        <v>3.0873015873015879</v>
      </c>
      <c r="AC250" s="167">
        <f t="shared" si="218"/>
        <v>124562.75897817461</v>
      </c>
      <c r="AD250" s="164">
        <f t="shared" si="219"/>
        <v>40346.806249999994</v>
      </c>
      <c r="AE250" s="200">
        <f t="shared" si="220"/>
        <v>2.0158730158730163</v>
      </c>
      <c r="AF250" s="167">
        <f t="shared" si="221"/>
        <v>81334.037996031751</v>
      </c>
      <c r="AG250" s="67"/>
    </row>
    <row r="251" spans="1:33">
      <c r="A251" s="134"/>
      <c r="B251" s="153">
        <v>4</v>
      </c>
      <c r="C251" s="202" t="s">
        <v>978</v>
      </c>
      <c r="D251" s="121" t="s">
        <v>1076</v>
      </c>
      <c r="E251" s="209">
        <v>0.5</v>
      </c>
      <c r="F251" s="164">
        <v>1</v>
      </c>
      <c r="G251" s="164">
        <f>'Assumptions HR_AUN'!$F$8</f>
        <v>80.053187003968247</v>
      </c>
      <c r="H251" s="164">
        <f t="shared" si="211"/>
        <v>40.026593501984124</v>
      </c>
      <c r="I251" s="164">
        <f t="shared" ref="I251:K251" si="224">$H251*I$246</f>
        <v>250566.47532242062</v>
      </c>
      <c r="J251" s="164">
        <f t="shared" si="224"/>
        <v>155703.44872271825</v>
      </c>
      <c r="K251" s="164">
        <f t="shared" si="224"/>
        <v>101667.54749503967</v>
      </c>
      <c r="L251" s="111"/>
      <c r="M251" s="111"/>
      <c r="N251" s="111"/>
      <c r="O251" s="111"/>
      <c r="P251" s="111"/>
      <c r="Q251" s="111"/>
      <c r="R251" s="111"/>
      <c r="S251" s="712"/>
      <c r="T251" s="169" t="s">
        <v>946</v>
      </c>
      <c r="U251" s="169" t="s">
        <v>946</v>
      </c>
      <c r="V251" s="121" t="s">
        <v>977</v>
      </c>
      <c r="W251" s="121" t="s">
        <v>961</v>
      </c>
      <c r="X251" s="170">
        <f t="shared" si="213"/>
        <v>40346.806249999994</v>
      </c>
      <c r="Y251" s="200">
        <f t="shared" si="214"/>
        <v>6.2103174603174605</v>
      </c>
      <c r="Z251" s="167">
        <f t="shared" si="215"/>
        <v>250566.47532242059</v>
      </c>
      <c r="AA251" s="164">
        <f t="shared" si="216"/>
        <v>40346.806249999994</v>
      </c>
      <c r="AB251" s="200">
        <f t="shared" si="217"/>
        <v>3.8591269841269846</v>
      </c>
      <c r="AC251" s="167">
        <f t="shared" si="218"/>
        <v>155703.44872271825</v>
      </c>
      <c r="AD251" s="164">
        <f t="shared" si="219"/>
        <v>40346.806249999994</v>
      </c>
      <c r="AE251" s="200">
        <f t="shared" si="220"/>
        <v>2.5198412698412702</v>
      </c>
      <c r="AF251" s="167">
        <f t="shared" si="221"/>
        <v>101667.54749503969</v>
      </c>
      <c r="AG251" s="67"/>
    </row>
    <row r="252" spans="1:33">
      <c r="A252" s="134"/>
      <c r="B252" s="153">
        <v>5</v>
      </c>
      <c r="C252" s="202" t="s">
        <v>978</v>
      </c>
      <c r="D252" s="121" t="s">
        <v>1077</v>
      </c>
      <c r="E252" s="209"/>
      <c r="F252" s="211">
        <v>0.1</v>
      </c>
      <c r="G252" s="164">
        <f>$D$23</f>
        <v>1025</v>
      </c>
      <c r="H252" s="164">
        <f t="shared" ref="H252:H254" si="225">F252*G252</f>
        <v>102.5</v>
      </c>
      <c r="I252" s="164">
        <f t="shared" ref="I252:K252" si="226">$H252*I$246</f>
        <v>641650</v>
      </c>
      <c r="J252" s="164">
        <f t="shared" si="226"/>
        <v>398725</v>
      </c>
      <c r="K252" s="164">
        <f t="shared" si="226"/>
        <v>260350</v>
      </c>
      <c r="L252" s="111"/>
      <c r="M252" s="111"/>
      <c r="N252" s="111"/>
      <c r="O252" s="111"/>
      <c r="P252" s="111"/>
      <c r="Q252" s="111"/>
      <c r="R252" s="111"/>
      <c r="S252" s="712"/>
      <c r="T252" s="169" t="s">
        <v>946</v>
      </c>
      <c r="U252" s="169" t="s">
        <v>946</v>
      </c>
      <c r="V252" s="121" t="s">
        <v>994</v>
      </c>
      <c r="W252" s="121" t="s">
        <v>789</v>
      </c>
      <c r="X252" s="170">
        <f t="shared" ref="X252:X254" si="227">G252</f>
        <v>1025</v>
      </c>
      <c r="Y252" s="200">
        <f t="shared" si="214"/>
        <v>626</v>
      </c>
      <c r="Z252" s="167">
        <f t="shared" si="215"/>
        <v>641650</v>
      </c>
      <c r="AA252" s="164">
        <f t="shared" si="216"/>
        <v>1025</v>
      </c>
      <c r="AB252" s="200">
        <f t="shared" si="217"/>
        <v>389</v>
      </c>
      <c r="AC252" s="167">
        <f t="shared" si="218"/>
        <v>398725</v>
      </c>
      <c r="AD252" s="164">
        <f t="shared" si="219"/>
        <v>1025</v>
      </c>
      <c r="AE252" s="200">
        <f t="shared" si="220"/>
        <v>254</v>
      </c>
      <c r="AF252" s="167">
        <f t="shared" si="221"/>
        <v>260350</v>
      </c>
      <c r="AG252" s="67"/>
    </row>
    <row r="253" spans="1:33">
      <c r="A253" s="134"/>
      <c r="B253" s="153">
        <v>6</v>
      </c>
      <c r="C253" s="202" t="s">
        <v>987</v>
      </c>
      <c r="D253" s="121" t="s">
        <v>1078</v>
      </c>
      <c r="E253" s="209"/>
      <c r="F253" s="164">
        <f>3*0.1</f>
        <v>0.30000000000000004</v>
      </c>
      <c r="G253" s="164">
        <f>$D$19</f>
        <v>244</v>
      </c>
      <c r="H253" s="164">
        <f t="shared" si="225"/>
        <v>73.200000000000017</v>
      </c>
      <c r="I253" s="164">
        <f t="shared" ref="I253:K253" si="228">$H253*I$246</f>
        <v>458232.00000000012</v>
      </c>
      <c r="J253" s="164">
        <f t="shared" si="228"/>
        <v>284748.00000000006</v>
      </c>
      <c r="K253" s="164">
        <f t="shared" si="228"/>
        <v>185928.00000000003</v>
      </c>
      <c r="L253" s="111"/>
      <c r="M253" s="111"/>
      <c r="N253" s="111"/>
      <c r="O253" s="111"/>
      <c r="P253" s="111"/>
      <c r="Q253" s="111"/>
      <c r="R253" s="111"/>
      <c r="S253" s="712"/>
      <c r="T253" s="169" t="s">
        <v>946</v>
      </c>
      <c r="U253" s="169" t="s">
        <v>946</v>
      </c>
      <c r="V253" s="121" t="s">
        <v>989</v>
      </c>
      <c r="W253" s="121" t="s">
        <v>789</v>
      </c>
      <c r="X253" s="170">
        <f t="shared" si="227"/>
        <v>244</v>
      </c>
      <c r="Y253" s="200">
        <f t="shared" si="214"/>
        <v>1878.0000000000005</v>
      </c>
      <c r="Z253" s="167">
        <f t="shared" si="215"/>
        <v>458232.00000000012</v>
      </c>
      <c r="AA253" s="164">
        <f t="shared" si="216"/>
        <v>244</v>
      </c>
      <c r="AB253" s="200">
        <f t="shared" si="217"/>
        <v>1167.0000000000002</v>
      </c>
      <c r="AC253" s="167">
        <f t="shared" si="218"/>
        <v>284748.00000000006</v>
      </c>
      <c r="AD253" s="164">
        <f t="shared" si="219"/>
        <v>244</v>
      </c>
      <c r="AE253" s="200">
        <f t="shared" si="220"/>
        <v>762.00000000000011</v>
      </c>
      <c r="AF253" s="167">
        <f t="shared" si="221"/>
        <v>185928.00000000003</v>
      </c>
      <c r="AG253" s="67"/>
    </row>
    <row r="254" spans="1:33">
      <c r="A254" s="134"/>
      <c r="B254" s="153">
        <v>7</v>
      </c>
      <c r="C254" s="202" t="s">
        <v>987</v>
      </c>
      <c r="D254" s="121" t="s">
        <v>1079</v>
      </c>
      <c r="E254" s="209"/>
      <c r="F254" s="211">
        <v>0.1</v>
      </c>
      <c r="G254" s="164">
        <f>$D$30</f>
        <v>20</v>
      </c>
      <c r="H254" s="164">
        <f t="shared" si="225"/>
        <v>2</v>
      </c>
      <c r="I254" s="164">
        <f t="shared" ref="I254:K254" si="229">$H254*I$246</f>
        <v>12520</v>
      </c>
      <c r="J254" s="164">
        <f t="shared" si="229"/>
        <v>7780</v>
      </c>
      <c r="K254" s="164">
        <f t="shared" si="229"/>
        <v>5080</v>
      </c>
      <c r="L254" s="111"/>
      <c r="M254" s="111"/>
      <c r="N254" s="111"/>
      <c r="O254" s="111"/>
      <c r="P254" s="111"/>
      <c r="Q254" s="111"/>
      <c r="R254" s="111"/>
      <c r="S254" s="712"/>
      <c r="T254" s="169" t="s">
        <v>946</v>
      </c>
      <c r="U254" s="169" t="s">
        <v>946</v>
      </c>
      <c r="V254" s="121" t="s">
        <v>957</v>
      </c>
      <c r="W254" s="121" t="s">
        <v>789</v>
      </c>
      <c r="X254" s="170">
        <f t="shared" si="227"/>
        <v>20</v>
      </c>
      <c r="Y254" s="200">
        <f t="shared" si="214"/>
        <v>626</v>
      </c>
      <c r="Z254" s="167">
        <f t="shared" si="215"/>
        <v>12520</v>
      </c>
      <c r="AA254" s="164">
        <f t="shared" si="216"/>
        <v>20</v>
      </c>
      <c r="AB254" s="200">
        <f t="shared" si="217"/>
        <v>389</v>
      </c>
      <c r="AC254" s="167">
        <f t="shared" si="218"/>
        <v>7780</v>
      </c>
      <c r="AD254" s="164">
        <f t="shared" si="219"/>
        <v>20</v>
      </c>
      <c r="AE254" s="200">
        <f t="shared" si="220"/>
        <v>254</v>
      </c>
      <c r="AF254" s="167">
        <f t="shared" si="221"/>
        <v>5080</v>
      </c>
      <c r="AG254" s="67"/>
    </row>
    <row r="255" spans="1:33">
      <c r="A255" s="134"/>
      <c r="B255" s="153">
        <v>8</v>
      </c>
      <c r="C255" s="202" t="s">
        <v>992</v>
      </c>
      <c r="D255" s="121" t="s">
        <v>1080</v>
      </c>
      <c r="E255" s="209">
        <v>0.3</v>
      </c>
      <c r="F255" s="164">
        <v>1</v>
      </c>
      <c r="G255" s="164">
        <f>'Assumptions HR_AUN'!$F$8</f>
        <v>80.053187003968247</v>
      </c>
      <c r="H255" s="164">
        <f t="shared" ref="H255:H257" si="230">E255*F255*G255</f>
        <v>24.015956101190472</v>
      </c>
      <c r="I255" s="164">
        <f t="shared" ref="I255:K255" si="231">$H255*I$246</f>
        <v>150339.88519345236</v>
      </c>
      <c r="J255" s="164">
        <f t="shared" si="231"/>
        <v>93422.069233630929</v>
      </c>
      <c r="K255" s="164">
        <f t="shared" si="231"/>
        <v>61000.528497023799</v>
      </c>
      <c r="L255" s="111"/>
      <c r="M255" s="111"/>
      <c r="N255" s="111"/>
      <c r="O255" s="111"/>
      <c r="P255" s="111"/>
      <c r="Q255" s="111"/>
      <c r="R255" s="111"/>
      <c r="S255" s="712"/>
      <c r="T255" s="169" t="s">
        <v>946</v>
      </c>
      <c r="U255" s="169" t="s">
        <v>946</v>
      </c>
      <c r="V255" s="121" t="s">
        <v>977</v>
      </c>
      <c r="W255" s="121" t="s">
        <v>961</v>
      </c>
      <c r="X255" s="170">
        <f t="shared" ref="X255:X257" si="232">G255*$D$35*$D$36</f>
        <v>40346.806249999994</v>
      </c>
      <c r="Y255" s="200">
        <f t="shared" si="214"/>
        <v>3.7261904761904763</v>
      </c>
      <c r="Z255" s="167">
        <f t="shared" si="215"/>
        <v>150339.88519345236</v>
      </c>
      <c r="AA255" s="164">
        <f t="shared" si="216"/>
        <v>40346.806249999994</v>
      </c>
      <c r="AB255" s="200">
        <f t="shared" si="217"/>
        <v>2.3154761904761902</v>
      </c>
      <c r="AC255" s="167">
        <f t="shared" si="218"/>
        <v>93422.069233630929</v>
      </c>
      <c r="AD255" s="164">
        <f t="shared" si="219"/>
        <v>40346.806249999994</v>
      </c>
      <c r="AE255" s="200">
        <f t="shared" si="220"/>
        <v>1.5119047619047619</v>
      </c>
      <c r="AF255" s="167">
        <f t="shared" si="221"/>
        <v>61000.528497023799</v>
      </c>
      <c r="AG255" s="67"/>
    </row>
    <row r="256" spans="1:33">
      <c r="A256" s="134"/>
      <c r="B256" s="153">
        <v>9</v>
      </c>
      <c r="C256" s="202" t="s">
        <v>978</v>
      </c>
      <c r="D256" s="121" t="s">
        <v>1081</v>
      </c>
      <c r="E256" s="209">
        <v>0.3</v>
      </c>
      <c r="F256" s="164">
        <v>1</v>
      </c>
      <c r="G256" s="164">
        <f>'Assumptions HR_AUN'!$F$8</f>
        <v>80.053187003968247</v>
      </c>
      <c r="H256" s="164">
        <f t="shared" si="230"/>
        <v>24.015956101190472</v>
      </c>
      <c r="I256" s="164">
        <f t="shared" ref="I256:K256" si="233">$H256*I$246</f>
        <v>150339.88519345236</v>
      </c>
      <c r="J256" s="164">
        <f t="shared" si="233"/>
        <v>93422.069233630929</v>
      </c>
      <c r="K256" s="164">
        <f t="shared" si="233"/>
        <v>61000.528497023799</v>
      </c>
      <c r="L256" s="111"/>
      <c r="M256" s="111"/>
      <c r="N256" s="111"/>
      <c r="O256" s="111"/>
      <c r="P256" s="111"/>
      <c r="Q256" s="111"/>
      <c r="R256" s="111"/>
      <c r="S256" s="712"/>
      <c r="T256" s="169" t="s">
        <v>946</v>
      </c>
      <c r="U256" s="169" t="s">
        <v>946</v>
      </c>
      <c r="V256" s="121" t="s">
        <v>977</v>
      </c>
      <c r="W256" s="121" t="s">
        <v>961</v>
      </c>
      <c r="X256" s="170">
        <f t="shared" si="232"/>
        <v>40346.806249999994</v>
      </c>
      <c r="Y256" s="200">
        <f t="shared" si="214"/>
        <v>3.7261904761904763</v>
      </c>
      <c r="Z256" s="167">
        <f t="shared" si="215"/>
        <v>150339.88519345236</v>
      </c>
      <c r="AA256" s="164">
        <f t="shared" si="216"/>
        <v>40346.806249999994</v>
      </c>
      <c r="AB256" s="200">
        <f t="shared" si="217"/>
        <v>2.3154761904761902</v>
      </c>
      <c r="AC256" s="167">
        <f t="shared" si="218"/>
        <v>93422.069233630929</v>
      </c>
      <c r="AD256" s="164">
        <f t="shared" si="219"/>
        <v>40346.806249999994</v>
      </c>
      <c r="AE256" s="200">
        <f t="shared" si="220"/>
        <v>1.5119047619047619</v>
      </c>
      <c r="AF256" s="167">
        <f t="shared" si="221"/>
        <v>61000.528497023799</v>
      </c>
      <c r="AG256" s="67"/>
    </row>
    <row r="257" spans="1:33">
      <c r="A257" s="134"/>
      <c r="B257" s="153">
        <v>10</v>
      </c>
      <c r="C257" s="202" t="s">
        <v>992</v>
      </c>
      <c r="D257" s="121" t="s">
        <v>1082</v>
      </c>
      <c r="E257" s="209">
        <v>0.5</v>
      </c>
      <c r="F257" s="164">
        <v>2</v>
      </c>
      <c r="G257" s="164">
        <f>'Assumptions HR_AUN'!$F$8</f>
        <v>80.053187003968247</v>
      </c>
      <c r="H257" s="164">
        <f t="shared" si="230"/>
        <v>80.053187003968247</v>
      </c>
      <c r="I257" s="164">
        <f t="shared" ref="I257:K257" si="234">$H257*I$246</f>
        <v>501132.95064484124</v>
      </c>
      <c r="J257" s="164">
        <f t="shared" si="234"/>
        <v>311406.89744543651</v>
      </c>
      <c r="K257" s="164">
        <f t="shared" si="234"/>
        <v>203335.09499007935</v>
      </c>
      <c r="L257" s="111"/>
      <c r="M257" s="111"/>
      <c r="N257" s="111"/>
      <c r="O257" s="111"/>
      <c r="P257" s="111"/>
      <c r="Q257" s="111"/>
      <c r="R257" s="111"/>
      <c r="S257" s="712"/>
      <c r="T257" s="169" t="s">
        <v>946</v>
      </c>
      <c r="U257" s="169" t="s">
        <v>946</v>
      </c>
      <c r="V257" s="121" t="s">
        <v>977</v>
      </c>
      <c r="W257" s="121" t="s">
        <v>961</v>
      </c>
      <c r="X257" s="170">
        <f t="shared" si="232"/>
        <v>40346.806249999994</v>
      </c>
      <c r="Y257" s="200">
        <f t="shared" si="214"/>
        <v>12.420634920634921</v>
      </c>
      <c r="Z257" s="167">
        <f t="shared" si="215"/>
        <v>501132.95064484118</v>
      </c>
      <c r="AA257" s="164">
        <f t="shared" si="216"/>
        <v>40346.806249999994</v>
      </c>
      <c r="AB257" s="200">
        <f t="shared" si="217"/>
        <v>7.7182539682539693</v>
      </c>
      <c r="AC257" s="167">
        <f t="shared" si="218"/>
        <v>311406.89744543651</v>
      </c>
      <c r="AD257" s="164">
        <f t="shared" si="219"/>
        <v>40346.806249999994</v>
      </c>
      <c r="AE257" s="200">
        <f t="shared" si="220"/>
        <v>5.0396825396825404</v>
      </c>
      <c r="AF257" s="167">
        <f t="shared" si="221"/>
        <v>203335.09499007938</v>
      </c>
      <c r="AG257" s="67"/>
    </row>
    <row r="258" spans="1:33">
      <c r="A258" s="134"/>
      <c r="B258" s="153">
        <v>11</v>
      </c>
      <c r="C258" s="202" t="s">
        <v>978</v>
      </c>
      <c r="D258" s="121" t="s">
        <v>909</v>
      </c>
      <c r="E258" s="209"/>
      <c r="F258" s="164">
        <v>2</v>
      </c>
      <c r="G258" s="164">
        <f>$D$30</f>
        <v>20</v>
      </c>
      <c r="H258" s="164">
        <f>F258*G258</f>
        <v>40</v>
      </c>
      <c r="I258" s="164">
        <f t="shared" ref="I258:K258" si="235">$H258*I$246</f>
        <v>250400</v>
      </c>
      <c r="J258" s="164">
        <f t="shared" si="235"/>
        <v>155600</v>
      </c>
      <c r="K258" s="164">
        <f t="shared" si="235"/>
        <v>101600</v>
      </c>
      <c r="L258" s="111"/>
      <c r="M258" s="111"/>
      <c r="N258" s="111"/>
      <c r="O258" s="111"/>
      <c r="P258" s="111"/>
      <c r="Q258" s="111"/>
      <c r="R258" s="111"/>
      <c r="S258" s="712"/>
      <c r="T258" s="169" t="s">
        <v>946</v>
      </c>
      <c r="U258" s="169" t="s">
        <v>946</v>
      </c>
      <c r="V258" s="121" t="s">
        <v>957</v>
      </c>
      <c r="W258" s="121" t="s">
        <v>789</v>
      </c>
      <c r="X258" s="170">
        <f>G258</f>
        <v>20</v>
      </c>
      <c r="Y258" s="200">
        <f t="shared" si="214"/>
        <v>12520</v>
      </c>
      <c r="Z258" s="167">
        <f t="shared" si="215"/>
        <v>250400</v>
      </c>
      <c r="AA258" s="164">
        <f t="shared" si="216"/>
        <v>20</v>
      </c>
      <c r="AB258" s="200">
        <f t="shared" si="217"/>
        <v>7780</v>
      </c>
      <c r="AC258" s="167">
        <f t="shared" si="218"/>
        <v>155600</v>
      </c>
      <c r="AD258" s="164">
        <f t="shared" si="219"/>
        <v>20</v>
      </c>
      <c r="AE258" s="200">
        <f t="shared" si="220"/>
        <v>5080</v>
      </c>
      <c r="AF258" s="167">
        <f t="shared" si="221"/>
        <v>101600</v>
      </c>
      <c r="AG258" s="67"/>
    </row>
    <row r="259" spans="1:33">
      <c r="A259" s="134"/>
      <c r="B259" s="153">
        <v>12</v>
      </c>
      <c r="C259" s="202" t="s">
        <v>1045</v>
      </c>
      <c r="D259" s="202">
        <v>0.1</v>
      </c>
      <c r="E259" s="209"/>
      <c r="F259" s="121"/>
      <c r="G259" s="121"/>
      <c r="H259" s="164">
        <f>SUM(H248:H258)*0.1</f>
        <v>44.344998735119049</v>
      </c>
      <c r="I259" s="164">
        <f t="shared" ref="I259:K259" si="236">$H259*I$246</f>
        <v>277599.69208184525</v>
      </c>
      <c r="J259" s="164">
        <f t="shared" si="236"/>
        <v>172502.0450796131</v>
      </c>
      <c r="K259" s="164">
        <f t="shared" si="236"/>
        <v>112636.29678720239</v>
      </c>
      <c r="L259" s="111"/>
      <c r="M259" s="111"/>
      <c r="N259" s="111"/>
      <c r="O259" s="111"/>
      <c r="P259" s="111"/>
      <c r="Q259" s="111"/>
      <c r="R259" s="111"/>
      <c r="S259" s="712"/>
      <c r="T259" s="169" t="s">
        <v>946</v>
      </c>
      <c r="U259" s="169" t="s">
        <v>946</v>
      </c>
      <c r="V259" s="121" t="s">
        <v>875</v>
      </c>
      <c r="W259" s="121" t="s">
        <v>961</v>
      </c>
      <c r="X259" s="170">
        <f>'Assumptions HR_AUN'!$D$4*3</f>
        <v>88211.039066799218</v>
      </c>
      <c r="Y259" s="200">
        <f t="shared" si="214"/>
        <v>3.1469949228421226</v>
      </c>
      <c r="Z259" s="167">
        <f t="shared" si="215"/>
        <v>277599.69208184525</v>
      </c>
      <c r="AA259" s="170">
        <f>'Assumptions HR_AUN'!$D$4*3</f>
        <v>88211.039066799218</v>
      </c>
      <c r="AB259" s="200">
        <f t="shared" si="217"/>
        <v>1.9555607427884754</v>
      </c>
      <c r="AC259" s="167">
        <f t="shared" si="218"/>
        <v>172502.0450796131</v>
      </c>
      <c r="AD259" s="164">
        <f t="shared" si="219"/>
        <v>88211.039066799218</v>
      </c>
      <c r="AE259" s="200">
        <f t="shared" si="220"/>
        <v>1.2768957035174107</v>
      </c>
      <c r="AF259" s="167">
        <f t="shared" si="221"/>
        <v>112636.29678720239</v>
      </c>
      <c r="AG259" s="67"/>
    </row>
    <row r="260" spans="1:33">
      <c r="A260" s="134"/>
      <c r="B260" s="153">
        <v>13</v>
      </c>
      <c r="C260" s="202" t="s">
        <v>1046</v>
      </c>
      <c r="D260" s="202">
        <v>0.15</v>
      </c>
      <c r="E260" s="209"/>
      <c r="F260" s="121"/>
      <c r="G260" s="121"/>
      <c r="H260" s="164">
        <f>SUM(H248:H258)*0.15</f>
        <v>66.517498102678559</v>
      </c>
      <c r="I260" s="164">
        <f t="shared" ref="I260:K260" si="237">$H260*I$246</f>
        <v>416399.53812276776</v>
      </c>
      <c r="J260" s="164">
        <f t="shared" si="237"/>
        <v>258753.0676194196</v>
      </c>
      <c r="K260" s="164">
        <f t="shared" si="237"/>
        <v>168954.44518080354</v>
      </c>
      <c r="L260" s="111"/>
      <c r="M260" s="111"/>
      <c r="N260" s="111"/>
      <c r="O260" s="111"/>
      <c r="P260" s="111"/>
      <c r="Q260" s="111"/>
      <c r="R260" s="111"/>
      <c r="S260" s="712"/>
      <c r="T260" s="169" t="s">
        <v>946</v>
      </c>
      <c r="U260" s="169" t="s">
        <v>946</v>
      </c>
      <c r="V260" s="121" t="s">
        <v>881</v>
      </c>
      <c r="W260" s="121" t="s">
        <v>964</v>
      </c>
      <c r="X260" s="170">
        <f>I260/4</f>
        <v>104099.88453069194</v>
      </c>
      <c r="Y260" s="200">
        <v>4</v>
      </c>
      <c r="Z260" s="167">
        <f t="shared" si="215"/>
        <v>416399.53812276776</v>
      </c>
      <c r="AA260" s="164">
        <f>J260/4</f>
        <v>64688.2669048549</v>
      </c>
      <c r="AB260" s="200">
        <v>4</v>
      </c>
      <c r="AC260" s="167">
        <f t="shared" si="218"/>
        <v>258753.0676194196</v>
      </c>
      <c r="AD260" s="164">
        <f>K260/4</f>
        <v>42238.611295200884</v>
      </c>
      <c r="AE260" s="200">
        <v>4</v>
      </c>
      <c r="AF260" s="167">
        <f t="shared" si="221"/>
        <v>168954.44518080354</v>
      </c>
      <c r="AG260" s="67"/>
    </row>
    <row r="261" spans="1:33">
      <c r="A261" s="134"/>
      <c r="B261" s="212"/>
      <c r="C261" s="212" t="s">
        <v>1047</v>
      </c>
      <c r="D261" s="212"/>
      <c r="E261" s="212"/>
      <c r="F261" s="212"/>
      <c r="G261" s="212"/>
      <c r="H261" s="178">
        <f t="shared" ref="H261:K261" si="238">SUM(H248:H260)</f>
        <v>554.31248418898804</v>
      </c>
      <c r="I261" s="178">
        <f t="shared" si="238"/>
        <v>3469996.1510230652</v>
      </c>
      <c r="J261" s="178">
        <f t="shared" si="238"/>
        <v>2156275.5634951638</v>
      </c>
      <c r="K261" s="178">
        <f t="shared" si="238"/>
        <v>1407953.7098400295</v>
      </c>
      <c r="L261" s="111"/>
      <c r="M261" s="111"/>
      <c r="N261" s="111"/>
      <c r="O261" s="111"/>
      <c r="P261" s="111"/>
      <c r="Q261" s="111"/>
      <c r="R261" s="111"/>
      <c r="S261" s="712"/>
      <c r="T261" s="111"/>
      <c r="U261" s="111"/>
      <c r="V261" s="111"/>
      <c r="W261" s="111"/>
      <c r="X261" s="132"/>
      <c r="Y261" s="133"/>
      <c r="Z261" s="132"/>
      <c r="AA261" s="132"/>
      <c r="AB261" s="133"/>
      <c r="AC261" s="132"/>
      <c r="AD261" s="132"/>
      <c r="AE261" s="133"/>
      <c r="AF261" s="132"/>
      <c r="AG261" s="67"/>
    </row>
    <row r="262" spans="1:33">
      <c r="A262" s="9"/>
      <c r="B262" s="111"/>
      <c r="C262" s="111"/>
      <c r="D262" s="111"/>
      <c r="E262" s="111"/>
      <c r="F262" s="111"/>
      <c r="G262" s="111"/>
      <c r="H262" s="151"/>
      <c r="I262" s="151"/>
      <c r="J262" s="151"/>
      <c r="K262" s="151"/>
      <c r="L262" s="111"/>
      <c r="M262" s="111"/>
      <c r="N262" s="111"/>
      <c r="O262" s="111"/>
      <c r="P262" s="111"/>
      <c r="Q262" s="111"/>
      <c r="R262" s="111"/>
      <c r="S262" s="712"/>
      <c r="T262" s="111"/>
      <c r="U262" s="111"/>
      <c r="V262" s="111"/>
      <c r="W262" s="111"/>
      <c r="X262" s="111"/>
      <c r="Y262" s="111"/>
      <c r="Z262" s="111"/>
      <c r="AA262" s="111"/>
      <c r="AB262" s="111"/>
      <c r="AC262" s="111"/>
      <c r="AD262" s="111"/>
      <c r="AE262" s="111"/>
      <c r="AF262" s="111"/>
      <c r="AG262" s="67"/>
    </row>
    <row r="263" spans="1:33">
      <c r="A263" s="9"/>
      <c r="B263" s="111"/>
      <c r="C263" s="111"/>
      <c r="D263" s="111"/>
      <c r="E263" s="111"/>
      <c r="F263" s="111"/>
      <c r="G263" s="111"/>
      <c r="H263" s="151"/>
      <c r="I263" s="111"/>
      <c r="J263" s="111"/>
      <c r="K263" s="111"/>
      <c r="L263" s="111"/>
      <c r="M263" s="111"/>
      <c r="N263" s="111"/>
      <c r="O263" s="111"/>
      <c r="P263" s="111"/>
      <c r="Q263" s="111"/>
      <c r="R263" s="111"/>
      <c r="S263" s="712"/>
      <c r="T263" s="111"/>
      <c r="U263" s="111"/>
      <c r="V263" s="111"/>
      <c r="W263" s="111"/>
      <c r="X263" s="111"/>
      <c r="Y263" s="111"/>
      <c r="Z263" s="111"/>
      <c r="AA263" s="111"/>
      <c r="AB263" s="111"/>
      <c r="AC263" s="111"/>
      <c r="AD263" s="111"/>
      <c r="AE263" s="111"/>
      <c r="AF263" s="111"/>
      <c r="AG263" s="67"/>
    </row>
    <row r="264" spans="1:33">
      <c r="A264" s="725">
        <v>12</v>
      </c>
      <c r="B264" s="726" t="e" vm="1">
        <f>'[2]AUN Budget'!E48</f>
        <v>#VALUE!</v>
      </c>
      <c r="C264" s="731"/>
      <c r="D264" s="731"/>
      <c r="E264" s="731"/>
      <c r="F264" s="731"/>
      <c r="G264" s="731"/>
      <c r="H264" s="731"/>
      <c r="I264" s="181">
        <v>1000</v>
      </c>
      <c r="J264" s="216">
        <v>1000</v>
      </c>
      <c r="K264" s="216">
        <v>1000</v>
      </c>
      <c r="L264" s="111"/>
      <c r="M264" s="111"/>
      <c r="N264" s="111"/>
      <c r="O264" s="111"/>
      <c r="P264" s="111"/>
      <c r="Q264" s="111"/>
      <c r="R264" s="111"/>
      <c r="S264" s="712"/>
      <c r="T264" s="111"/>
      <c r="U264" s="111"/>
      <c r="V264" s="111"/>
      <c r="W264" s="111"/>
      <c r="X264" s="132"/>
      <c r="Y264" s="133"/>
      <c r="Z264" s="132"/>
      <c r="AA264" s="132"/>
      <c r="AB264" s="133"/>
      <c r="AC264" s="132"/>
      <c r="AD264" s="132"/>
      <c r="AE264" s="133"/>
      <c r="AF264" s="132"/>
      <c r="AG264" s="67"/>
    </row>
    <row r="265" spans="1:33">
      <c r="A265" s="157" t="s">
        <v>20</v>
      </c>
      <c r="B265" s="113" t="s">
        <v>755</v>
      </c>
      <c r="C265" s="113" t="s">
        <v>966</v>
      </c>
      <c r="D265" s="113" t="s">
        <v>967</v>
      </c>
      <c r="E265" s="113" t="s">
        <v>968</v>
      </c>
      <c r="F265" s="113" t="s">
        <v>969</v>
      </c>
      <c r="G265" s="113" t="s">
        <v>970</v>
      </c>
      <c r="H265" s="113" t="s">
        <v>971</v>
      </c>
      <c r="I265" s="113" t="s">
        <v>972</v>
      </c>
      <c r="J265" s="113" t="s">
        <v>973</v>
      </c>
      <c r="K265" s="113" t="s">
        <v>974</v>
      </c>
      <c r="L265" s="111"/>
      <c r="M265" s="111"/>
      <c r="N265" s="111"/>
      <c r="O265" s="111"/>
      <c r="P265" s="182"/>
      <c r="Q265" s="182"/>
      <c r="R265" s="182"/>
      <c r="S265" s="727"/>
      <c r="T265" s="159" t="s">
        <v>387</v>
      </c>
      <c r="U265" s="159" t="s">
        <v>388</v>
      </c>
      <c r="V265" s="159" t="s">
        <v>934</v>
      </c>
      <c r="W265" s="160" t="s">
        <v>935</v>
      </c>
      <c r="X265" s="161" t="s">
        <v>936</v>
      </c>
      <c r="Y265" s="162" t="s">
        <v>937</v>
      </c>
      <c r="Z265" s="161" t="s">
        <v>938</v>
      </c>
      <c r="AA265" s="161" t="s">
        <v>939</v>
      </c>
      <c r="AB265" s="162" t="s">
        <v>940</v>
      </c>
      <c r="AC265" s="161" t="s">
        <v>941</v>
      </c>
      <c r="AD265" s="161" t="s">
        <v>942</v>
      </c>
      <c r="AE265" s="162" t="s">
        <v>943</v>
      </c>
      <c r="AF265" s="161" t="s">
        <v>944</v>
      </c>
      <c r="AG265" s="67"/>
    </row>
    <row r="266" spans="1:33">
      <c r="A266" s="134"/>
      <c r="B266" s="153">
        <v>1</v>
      </c>
      <c r="C266" s="121" t="s">
        <v>978</v>
      </c>
      <c r="D266" s="121" t="s">
        <v>1083</v>
      </c>
      <c r="E266" s="209">
        <v>0.5</v>
      </c>
      <c r="F266" s="164">
        <v>12</v>
      </c>
      <c r="G266" s="164">
        <f>'Assumptions HR_AUN'!$F$8</f>
        <v>80.053187003968247</v>
      </c>
      <c r="H266" s="164">
        <f t="shared" ref="H266:H267" si="239">E266*F266*G266</f>
        <v>480.31912202380948</v>
      </c>
      <c r="I266" s="164">
        <f t="shared" ref="I266:I272" si="240">$H266*$I$264</f>
        <v>480319.12202380947</v>
      </c>
      <c r="J266" s="164">
        <f t="shared" ref="J266:J272" si="241">$H266*$J$264</f>
        <v>480319.12202380947</v>
      </c>
      <c r="K266" s="164">
        <f t="shared" ref="K266:K272" si="242">$H266*$K$264</f>
        <v>480319.12202380947</v>
      </c>
      <c r="L266" s="111"/>
      <c r="M266" s="111"/>
      <c r="N266" s="111"/>
      <c r="O266" s="111"/>
      <c r="P266" s="111"/>
      <c r="Q266" s="111"/>
      <c r="R266" s="111"/>
      <c r="S266" s="712"/>
      <c r="T266" s="169" t="s">
        <v>946</v>
      </c>
      <c r="U266" s="169" t="s">
        <v>946</v>
      </c>
      <c r="V266" s="121" t="s">
        <v>977</v>
      </c>
      <c r="W266" s="121" t="s">
        <v>961</v>
      </c>
      <c r="X266" s="170">
        <f>G266*$D$35*$D$36</f>
        <v>40346.806249999994</v>
      </c>
      <c r="Y266" s="200">
        <f t="shared" ref="Y266:Y272" si="243">I266/X266</f>
        <v>11.904761904761905</v>
      </c>
      <c r="Z266" s="167">
        <f t="shared" ref="Z266:Z272" si="244">X266*Y266</f>
        <v>480319.12202380947</v>
      </c>
      <c r="AA266" s="164">
        <f t="shared" ref="AA266:AA272" si="245">X266</f>
        <v>40346.806249999994</v>
      </c>
      <c r="AB266" s="200">
        <f t="shared" ref="AB266:AB272" si="246">J266/AA266</f>
        <v>11.904761904761905</v>
      </c>
      <c r="AC266" s="167">
        <f t="shared" ref="AC266:AC272" si="247">AA266*AB266</f>
        <v>480319.12202380947</v>
      </c>
      <c r="AD266" s="164">
        <f t="shared" ref="AD266:AD272" si="248">AA266</f>
        <v>40346.806249999994</v>
      </c>
      <c r="AE266" s="200">
        <f t="shared" ref="AE266:AE272" si="249">K266/AD266</f>
        <v>11.904761904761905</v>
      </c>
      <c r="AF266" s="167">
        <f t="shared" ref="AF266:AF272" si="250">AD266*AE266</f>
        <v>480319.12202380947</v>
      </c>
      <c r="AG266" s="67"/>
    </row>
    <row r="267" spans="1:33">
      <c r="A267" s="134"/>
      <c r="B267" s="153">
        <v>2</v>
      </c>
      <c r="C267" s="121" t="s">
        <v>978</v>
      </c>
      <c r="D267" s="121" t="s">
        <v>1049</v>
      </c>
      <c r="E267" s="209">
        <v>0.5</v>
      </c>
      <c r="F267" s="164">
        <v>1</v>
      </c>
      <c r="G267" s="164">
        <f>'Assumptions HR_AUN'!$F$4</f>
        <v>175.0219029103159</v>
      </c>
      <c r="H267" s="164">
        <f t="shared" si="239"/>
        <v>87.510951455157951</v>
      </c>
      <c r="I267" s="164">
        <f t="shared" si="240"/>
        <v>87510.951455157949</v>
      </c>
      <c r="J267" s="164">
        <f t="shared" si="241"/>
        <v>87510.951455157949</v>
      </c>
      <c r="K267" s="164">
        <f t="shared" si="242"/>
        <v>87510.951455157949</v>
      </c>
      <c r="L267" s="111"/>
      <c r="M267" s="111"/>
      <c r="N267" s="111"/>
      <c r="O267" s="111"/>
      <c r="P267" s="111"/>
      <c r="Q267" s="111"/>
      <c r="R267" s="111"/>
      <c r="S267" s="712"/>
      <c r="T267" s="169" t="s">
        <v>946</v>
      </c>
      <c r="U267" s="169" t="s">
        <v>946</v>
      </c>
      <c r="V267" s="121" t="s">
        <v>848</v>
      </c>
      <c r="W267" s="164" t="s">
        <v>947</v>
      </c>
      <c r="X267" s="170">
        <f>$G267*$D$35*$D$36/20</f>
        <v>4410.5519533399611</v>
      </c>
      <c r="Y267" s="200">
        <f t="shared" si="243"/>
        <v>19.841269841269838</v>
      </c>
      <c r="Z267" s="167">
        <f t="shared" si="244"/>
        <v>87510.951455157949</v>
      </c>
      <c r="AA267" s="164">
        <f t="shared" si="245"/>
        <v>4410.5519533399611</v>
      </c>
      <c r="AB267" s="200">
        <f t="shared" si="246"/>
        <v>19.841269841269838</v>
      </c>
      <c r="AC267" s="167">
        <f t="shared" si="247"/>
        <v>87510.951455157949</v>
      </c>
      <c r="AD267" s="164">
        <f t="shared" si="248"/>
        <v>4410.5519533399611</v>
      </c>
      <c r="AE267" s="200">
        <f t="shared" si="249"/>
        <v>19.841269841269838</v>
      </c>
      <c r="AF267" s="167">
        <f t="shared" si="250"/>
        <v>87510.951455157949</v>
      </c>
      <c r="AG267" s="67"/>
    </row>
    <row r="268" spans="1:33">
      <c r="A268" s="134"/>
      <c r="B268" s="153">
        <v>3</v>
      </c>
      <c r="C268" s="121" t="s">
        <v>997</v>
      </c>
      <c r="D268" s="121" t="s">
        <v>1050</v>
      </c>
      <c r="E268" s="209"/>
      <c r="F268" s="164">
        <v>1</v>
      </c>
      <c r="G268" s="164">
        <f>$D$32</f>
        <v>60</v>
      </c>
      <c r="H268" s="164">
        <f t="shared" ref="H268:H269" si="251">F268*G268</f>
        <v>60</v>
      </c>
      <c r="I268" s="164">
        <f t="shared" si="240"/>
        <v>60000</v>
      </c>
      <c r="J268" s="164">
        <f t="shared" si="241"/>
        <v>60000</v>
      </c>
      <c r="K268" s="164">
        <f t="shared" si="242"/>
        <v>60000</v>
      </c>
      <c r="L268" s="111"/>
      <c r="M268" s="111"/>
      <c r="N268" s="111"/>
      <c r="O268" s="111"/>
      <c r="P268" s="111"/>
      <c r="Q268" s="111"/>
      <c r="R268" s="111"/>
      <c r="S268" s="712"/>
      <c r="T268" s="169" t="s">
        <v>946</v>
      </c>
      <c r="U268" s="169" t="s">
        <v>946</v>
      </c>
      <c r="V268" s="121" t="s">
        <v>957</v>
      </c>
      <c r="W268" s="121" t="s">
        <v>789</v>
      </c>
      <c r="X268" s="170">
        <f>$G$268</f>
        <v>60</v>
      </c>
      <c r="Y268" s="200">
        <f t="shared" si="243"/>
        <v>1000</v>
      </c>
      <c r="Z268" s="167">
        <f t="shared" si="244"/>
        <v>60000</v>
      </c>
      <c r="AA268" s="164">
        <f t="shared" si="245"/>
        <v>60</v>
      </c>
      <c r="AB268" s="200">
        <f t="shared" si="246"/>
        <v>1000</v>
      </c>
      <c r="AC268" s="167">
        <f t="shared" si="247"/>
        <v>60000</v>
      </c>
      <c r="AD268" s="164">
        <f t="shared" si="248"/>
        <v>60</v>
      </c>
      <c r="AE268" s="200">
        <f t="shared" si="249"/>
        <v>1000</v>
      </c>
      <c r="AF268" s="167">
        <f t="shared" si="250"/>
        <v>60000</v>
      </c>
      <c r="AG268" s="67"/>
    </row>
    <row r="269" spans="1:33">
      <c r="A269" s="134"/>
      <c r="B269" s="153">
        <v>4</v>
      </c>
      <c r="C269" s="121" t="s">
        <v>987</v>
      </c>
      <c r="D269" s="121" t="s">
        <v>1051</v>
      </c>
      <c r="E269" s="209"/>
      <c r="F269" s="164">
        <v>4</v>
      </c>
      <c r="G269" s="164">
        <f>$D$20</f>
        <v>156</v>
      </c>
      <c r="H269" s="164">
        <f t="shared" si="251"/>
        <v>624</v>
      </c>
      <c r="I269" s="164">
        <f t="shared" si="240"/>
        <v>624000</v>
      </c>
      <c r="J269" s="164">
        <f t="shared" si="241"/>
        <v>624000</v>
      </c>
      <c r="K269" s="164">
        <f t="shared" si="242"/>
        <v>624000</v>
      </c>
      <c r="L269" s="111"/>
      <c r="M269" s="111"/>
      <c r="N269" s="111"/>
      <c r="O269" s="111"/>
      <c r="P269" s="111"/>
      <c r="Q269" s="111"/>
      <c r="R269" s="111"/>
      <c r="S269" s="712"/>
      <c r="T269" s="169" t="s">
        <v>946</v>
      </c>
      <c r="U269" s="169" t="s">
        <v>946</v>
      </c>
      <c r="V269" s="121" t="s">
        <v>989</v>
      </c>
      <c r="W269" s="121" t="s">
        <v>789</v>
      </c>
      <c r="X269" s="170">
        <f>$G$269</f>
        <v>156</v>
      </c>
      <c r="Y269" s="200">
        <f t="shared" si="243"/>
        <v>4000</v>
      </c>
      <c r="Z269" s="167">
        <f t="shared" si="244"/>
        <v>624000</v>
      </c>
      <c r="AA269" s="164">
        <f t="shared" si="245"/>
        <v>156</v>
      </c>
      <c r="AB269" s="200">
        <f t="shared" si="246"/>
        <v>4000</v>
      </c>
      <c r="AC269" s="167">
        <f t="shared" si="247"/>
        <v>624000</v>
      </c>
      <c r="AD269" s="164">
        <f t="shared" si="248"/>
        <v>156</v>
      </c>
      <c r="AE269" s="200">
        <f t="shared" si="249"/>
        <v>4000</v>
      </c>
      <c r="AF269" s="167">
        <f t="shared" si="250"/>
        <v>624000</v>
      </c>
      <c r="AG269" s="67"/>
    </row>
    <row r="270" spans="1:33">
      <c r="A270" s="134"/>
      <c r="B270" s="153">
        <v>5</v>
      </c>
      <c r="C270" s="121" t="s">
        <v>1052</v>
      </c>
      <c r="D270" s="121" t="s">
        <v>1084</v>
      </c>
      <c r="E270" s="209">
        <v>4</v>
      </c>
      <c r="F270" s="164">
        <v>1</v>
      </c>
      <c r="G270" s="164">
        <f>'Assumptions HR_AUN'!$F$4</f>
        <v>175.0219029103159</v>
      </c>
      <c r="H270" s="164">
        <f>E270*F270*G270</f>
        <v>700.08761164126361</v>
      </c>
      <c r="I270" s="164">
        <f t="shared" si="240"/>
        <v>700087.61164126359</v>
      </c>
      <c r="J270" s="164">
        <f t="shared" si="241"/>
        <v>700087.61164126359</v>
      </c>
      <c r="K270" s="164">
        <f t="shared" si="242"/>
        <v>700087.61164126359</v>
      </c>
      <c r="L270" s="111"/>
      <c r="M270" s="111"/>
      <c r="N270" s="111"/>
      <c r="O270" s="111"/>
      <c r="P270" s="111"/>
      <c r="Q270" s="111"/>
      <c r="R270" s="111"/>
      <c r="S270" s="712"/>
      <c r="T270" s="169" t="s">
        <v>946</v>
      </c>
      <c r="U270" s="169" t="s">
        <v>946</v>
      </c>
      <c r="V270" s="121" t="s">
        <v>991</v>
      </c>
      <c r="W270" s="121" t="s">
        <v>961</v>
      </c>
      <c r="X270" s="170">
        <f>'Assumptions HR_AUN'!$F$4*'Assumptions Other_AUN'!$D$35*'Assumptions Other_AUN'!$D$36</f>
        <v>88211.039066799218</v>
      </c>
      <c r="Y270" s="200">
        <f t="shared" si="243"/>
        <v>7.9365079365079358</v>
      </c>
      <c r="Z270" s="167">
        <f t="shared" si="244"/>
        <v>700087.61164126359</v>
      </c>
      <c r="AA270" s="164">
        <f t="shared" si="245"/>
        <v>88211.039066799218</v>
      </c>
      <c r="AB270" s="200">
        <f t="shared" si="246"/>
        <v>7.9365079365079358</v>
      </c>
      <c r="AC270" s="167">
        <f t="shared" si="247"/>
        <v>700087.61164126359</v>
      </c>
      <c r="AD270" s="164">
        <f t="shared" si="248"/>
        <v>88211.039066799218</v>
      </c>
      <c r="AE270" s="200">
        <f t="shared" si="249"/>
        <v>7.9365079365079358</v>
      </c>
      <c r="AF270" s="167">
        <f t="shared" si="250"/>
        <v>700087.61164126359</v>
      </c>
      <c r="AG270" s="67"/>
    </row>
    <row r="271" spans="1:33">
      <c r="A271" s="134"/>
      <c r="B271" s="153">
        <v>6</v>
      </c>
      <c r="C271" s="121" t="s">
        <v>1001</v>
      </c>
      <c r="D271" s="121"/>
      <c r="E271" s="209"/>
      <c r="F271" s="164"/>
      <c r="G271" s="185">
        <f>$C$13</f>
        <v>0.1</v>
      </c>
      <c r="H271" s="164">
        <f>SUM(H266:H270)*G271</f>
        <v>195.19176851202312</v>
      </c>
      <c r="I271" s="164">
        <f t="shared" si="240"/>
        <v>195191.76851202312</v>
      </c>
      <c r="J271" s="164">
        <f t="shared" si="241"/>
        <v>195191.76851202312</v>
      </c>
      <c r="K271" s="164">
        <f t="shared" si="242"/>
        <v>195191.76851202312</v>
      </c>
      <c r="L271" s="111"/>
      <c r="M271" s="111"/>
      <c r="N271" s="111"/>
      <c r="O271" s="111"/>
      <c r="P271" s="111"/>
      <c r="Q271" s="111"/>
      <c r="R271" s="111"/>
      <c r="S271" s="712"/>
      <c r="T271" s="169" t="s">
        <v>946</v>
      </c>
      <c r="U271" s="169" t="s">
        <v>946</v>
      </c>
      <c r="V271" s="121" t="s">
        <v>875</v>
      </c>
      <c r="W271" s="121" t="s">
        <v>961</v>
      </c>
      <c r="X271" s="170">
        <f>'Assumptions HR_AUN'!$D$4*3</f>
        <v>88211.039066799218</v>
      </c>
      <c r="Y271" s="200">
        <f t="shared" si="243"/>
        <v>2.2127816492923413</v>
      </c>
      <c r="Z271" s="167">
        <f t="shared" si="244"/>
        <v>195191.76851202312</v>
      </c>
      <c r="AA271" s="164">
        <f t="shared" si="245"/>
        <v>88211.039066799218</v>
      </c>
      <c r="AB271" s="200">
        <f t="shared" si="246"/>
        <v>2.2127816492923413</v>
      </c>
      <c r="AC271" s="167">
        <f t="shared" si="247"/>
        <v>195191.76851202312</v>
      </c>
      <c r="AD271" s="164">
        <f t="shared" si="248"/>
        <v>88211.039066799218</v>
      </c>
      <c r="AE271" s="200">
        <f t="shared" si="249"/>
        <v>2.2127816492923413</v>
      </c>
      <c r="AF271" s="167">
        <f t="shared" si="250"/>
        <v>195191.76851202312</v>
      </c>
      <c r="AG271" s="67"/>
    </row>
    <row r="272" spans="1:33">
      <c r="A272" s="134"/>
      <c r="B272" s="153">
        <v>7</v>
      </c>
      <c r="C272" s="121" t="s">
        <v>962</v>
      </c>
      <c r="D272" s="121"/>
      <c r="E272" s="209"/>
      <c r="F272" s="164"/>
      <c r="G272" s="185">
        <f>$C$14</f>
        <v>0.15</v>
      </c>
      <c r="H272" s="164">
        <f>SUM(H266:H271)*G272</f>
        <v>322.06641804483809</v>
      </c>
      <c r="I272" s="164">
        <f t="shared" si="240"/>
        <v>322066.41804483806</v>
      </c>
      <c r="J272" s="164">
        <f t="shared" si="241"/>
        <v>322066.41804483806</v>
      </c>
      <c r="K272" s="164">
        <f t="shared" si="242"/>
        <v>322066.41804483806</v>
      </c>
      <c r="L272" s="111"/>
      <c r="M272" s="111"/>
      <c r="N272" s="111"/>
      <c r="O272" s="111"/>
      <c r="P272" s="111"/>
      <c r="Q272" s="111"/>
      <c r="R272" s="111"/>
      <c r="S272" s="712"/>
      <c r="T272" s="169" t="s">
        <v>946</v>
      </c>
      <c r="U272" s="169" t="s">
        <v>946</v>
      </c>
      <c r="V272" s="121" t="s">
        <v>881</v>
      </c>
      <c r="W272" s="121" t="s">
        <v>964</v>
      </c>
      <c r="X272" s="170">
        <f>I272/4</f>
        <v>80516.604511209516</v>
      </c>
      <c r="Y272" s="200">
        <f t="shared" si="243"/>
        <v>4</v>
      </c>
      <c r="Z272" s="167">
        <f t="shared" si="244"/>
        <v>322066.41804483806</v>
      </c>
      <c r="AA272" s="164">
        <f t="shared" si="245"/>
        <v>80516.604511209516</v>
      </c>
      <c r="AB272" s="200">
        <f t="shared" si="246"/>
        <v>4</v>
      </c>
      <c r="AC272" s="167">
        <f t="shared" si="247"/>
        <v>322066.41804483806</v>
      </c>
      <c r="AD272" s="164">
        <f t="shared" si="248"/>
        <v>80516.604511209516</v>
      </c>
      <c r="AE272" s="200">
        <f t="shared" si="249"/>
        <v>4</v>
      </c>
      <c r="AF272" s="167">
        <f t="shared" si="250"/>
        <v>322066.41804483806</v>
      </c>
      <c r="AG272" s="67"/>
    </row>
    <row r="273" spans="1:33">
      <c r="A273" s="134"/>
      <c r="B273" s="212" t="s">
        <v>770</v>
      </c>
      <c r="C273" s="212"/>
      <c r="D273" s="212"/>
      <c r="E273" s="212"/>
      <c r="F273" s="212"/>
      <c r="G273" s="178"/>
      <c r="H273" s="178">
        <f t="shared" ref="H273:K273" si="252">SUM(H266:H272)</f>
        <v>2469.1758716770919</v>
      </c>
      <c r="I273" s="178">
        <f t="shared" si="252"/>
        <v>2469175.8716770923</v>
      </c>
      <c r="J273" s="178">
        <f t="shared" si="252"/>
        <v>2469175.8716770923</v>
      </c>
      <c r="K273" s="178">
        <f t="shared" si="252"/>
        <v>2469175.8716770923</v>
      </c>
      <c r="L273" s="111"/>
      <c r="M273" s="111"/>
      <c r="N273" s="111"/>
      <c r="O273" s="111"/>
      <c r="P273" s="111"/>
      <c r="Q273" s="111"/>
      <c r="R273" s="111"/>
      <c r="S273" s="712"/>
      <c r="T273" s="111"/>
      <c r="U273" s="111"/>
      <c r="V273" s="111"/>
      <c r="W273" s="111"/>
      <c r="X273" s="132"/>
      <c r="Y273" s="133"/>
      <c r="Z273" s="132"/>
      <c r="AA273" s="132"/>
      <c r="AB273" s="133"/>
      <c r="AC273" s="132"/>
      <c r="AD273" s="132"/>
      <c r="AE273" s="133"/>
      <c r="AF273" s="132"/>
      <c r="AG273" s="67"/>
    </row>
    <row r="274" spans="1:33">
      <c r="A274" s="9"/>
      <c r="B274" s="111"/>
      <c r="C274" s="111"/>
      <c r="D274" s="111"/>
      <c r="E274" s="111"/>
      <c r="F274" s="111"/>
      <c r="G274" s="111"/>
      <c r="H274" s="151"/>
      <c r="I274" s="111"/>
      <c r="J274" s="111"/>
      <c r="K274" s="111"/>
      <c r="L274" s="111"/>
      <c r="M274" s="111"/>
      <c r="N274" s="111"/>
      <c r="O274" s="111"/>
      <c r="P274" s="111"/>
      <c r="Q274" s="111"/>
      <c r="R274" s="111"/>
      <c r="S274" s="712"/>
      <c r="T274" s="111"/>
      <c r="U274" s="111"/>
      <c r="V274" s="111"/>
      <c r="W274" s="111"/>
      <c r="X274" s="111"/>
      <c r="Y274" s="111"/>
      <c r="Z274" s="111"/>
      <c r="AA274" s="111"/>
      <c r="AB274" s="111"/>
      <c r="AC274" s="111"/>
      <c r="AD274" s="111"/>
      <c r="AE274" s="111"/>
      <c r="AF274" s="111"/>
      <c r="AG274" s="67"/>
    </row>
    <row r="275" spans="1:33">
      <c r="A275" s="9"/>
      <c r="B275" s="111"/>
      <c r="C275" s="111"/>
      <c r="D275" s="111"/>
      <c r="E275" s="111"/>
      <c r="F275" s="111"/>
      <c r="G275" s="111"/>
      <c r="H275" s="111"/>
      <c r="I275" s="180" t="s">
        <v>1085</v>
      </c>
      <c r="J275" s="180"/>
      <c r="K275" s="180"/>
      <c r="L275" s="111"/>
      <c r="M275" s="111"/>
      <c r="N275" s="111"/>
      <c r="O275" s="111"/>
      <c r="P275" s="111"/>
      <c r="Q275" s="111"/>
      <c r="R275" s="111"/>
      <c r="S275" s="712"/>
      <c r="T275" s="111"/>
      <c r="U275" s="111"/>
      <c r="V275" s="111"/>
      <c r="W275" s="111"/>
      <c r="X275" s="132"/>
      <c r="Y275" s="133"/>
      <c r="Z275" s="132"/>
      <c r="AA275" s="132"/>
      <c r="AB275" s="133"/>
      <c r="AC275" s="132"/>
      <c r="AD275" s="132"/>
      <c r="AE275" s="133"/>
      <c r="AF275" s="132"/>
      <c r="AG275" s="67"/>
    </row>
    <row r="276" spans="1:33">
      <c r="A276" s="9"/>
      <c r="B276" s="111"/>
      <c r="C276" s="111"/>
      <c r="D276" s="111"/>
      <c r="E276" s="111"/>
      <c r="F276" s="111"/>
      <c r="G276" s="111"/>
      <c r="H276" s="111"/>
      <c r="I276" s="218" t="s">
        <v>972</v>
      </c>
      <c r="J276" s="219" t="s">
        <v>973</v>
      </c>
      <c r="K276" s="220" t="s">
        <v>974</v>
      </c>
      <c r="L276" s="111"/>
      <c r="M276" s="111"/>
      <c r="N276" s="111"/>
      <c r="O276" s="111"/>
      <c r="P276" s="111"/>
      <c r="Q276" s="111"/>
      <c r="R276" s="111"/>
      <c r="S276" s="712"/>
      <c r="T276" s="111"/>
      <c r="U276" s="111"/>
      <c r="V276" s="111"/>
      <c r="W276" s="111"/>
      <c r="X276" s="132"/>
      <c r="Y276" s="133"/>
      <c r="Z276" s="132"/>
      <c r="AA276" s="132"/>
      <c r="AB276" s="133"/>
      <c r="AC276" s="132"/>
      <c r="AD276" s="132"/>
      <c r="AE276" s="133"/>
      <c r="AF276" s="132"/>
      <c r="AG276" s="67"/>
    </row>
    <row r="277" spans="1:33">
      <c r="A277" s="725">
        <v>13</v>
      </c>
      <c r="B277" s="726" t="e" vm="1">
        <f>'[2]AUN Budget'!$E$61</f>
        <v>#VALUE!</v>
      </c>
      <c r="C277" s="731"/>
      <c r="D277" s="731"/>
      <c r="E277" s="731"/>
      <c r="F277" s="731"/>
      <c r="G277" s="731"/>
      <c r="H277" s="731"/>
      <c r="I277" s="216">
        <v>1000</v>
      </c>
      <c r="J277" s="216">
        <v>5000</v>
      </c>
      <c r="K277" s="216">
        <v>5000</v>
      </c>
      <c r="L277" s="111"/>
      <c r="M277" s="111"/>
      <c r="N277" s="111"/>
      <c r="O277" s="111"/>
      <c r="P277" s="111"/>
      <c r="Q277" s="111"/>
      <c r="R277" s="111"/>
      <c r="S277" s="712"/>
      <c r="T277" s="111"/>
      <c r="U277" s="111"/>
      <c r="V277" s="111"/>
      <c r="W277" s="111"/>
      <c r="X277" s="132"/>
      <c r="Y277" s="133"/>
      <c r="Z277" s="132"/>
      <c r="AA277" s="132"/>
      <c r="AB277" s="133"/>
      <c r="AC277" s="132"/>
      <c r="AD277" s="132"/>
      <c r="AE277" s="133"/>
      <c r="AF277" s="132"/>
      <c r="AG277" s="67"/>
    </row>
    <row r="278" spans="1:33">
      <c r="A278" s="157" t="s">
        <v>101</v>
      </c>
      <c r="B278" s="113" t="s">
        <v>755</v>
      </c>
      <c r="C278" s="113" t="s">
        <v>966</v>
      </c>
      <c r="D278" s="113" t="s">
        <v>967</v>
      </c>
      <c r="E278" s="113" t="s">
        <v>968</v>
      </c>
      <c r="F278" s="113" t="s">
        <v>969</v>
      </c>
      <c r="G278" s="113" t="s">
        <v>970</v>
      </c>
      <c r="H278" s="113" t="s">
        <v>971</v>
      </c>
      <c r="I278" s="113" t="s">
        <v>972</v>
      </c>
      <c r="J278" s="113" t="s">
        <v>973</v>
      </c>
      <c r="K278" s="113" t="s">
        <v>974</v>
      </c>
      <c r="L278" s="111"/>
      <c r="M278" s="111"/>
      <c r="N278" s="111"/>
      <c r="O278" s="182"/>
      <c r="P278" s="182"/>
      <c r="Q278" s="182"/>
      <c r="R278" s="182"/>
      <c r="S278" s="727"/>
      <c r="T278" s="159" t="s">
        <v>387</v>
      </c>
      <c r="U278" s="159" t="s">
        <v>388</v>
      </c>
      <c r="V278" s="159" t="s">
        <v>934</v>
      </c>
      <c r="W278" s="160" t="s">
        <v>935</v>
      </c>
      <c r="X278" s="161" t="s">
        <v>936</v>
      </c>
      <c r="Y278" s="162" t="s">
        <v>937</v>
      </c>
      <c r="Z278" s="161" t="s">
        <v>938</v>
      </c>
      <c r="AA278" s="161" t="s">
        <v>939</v>
      </c>
      <c r="AB278" s="162" t="s">
        <v>940</v>
      </c>
      <c r="AC278" s="161" t="s">
        <v>941</v>
      </c>
      <c r="AD278" s="161" t="s">
        <v>942</v>
      </c>
      <c r="AE278" s="162" t="s">
        <v>943</v>
      </c>
      <c r="AF278" s="161" t="s">
        <v>944</v>
      </c>
      <c r="AG278" s="67"/>
    </row>
    <row r="279" spans="1:33">
      <c r="A279" s="134"/>
      <c r="B279" s="153">
        <v>1</v>
      </c>
      <c r="C279" s="121" t="s">
        <v>978</v>
      </c>
      <c r="D279" s="121" t="s">
        <v>1086</v>
      </c>
      <c r="E279" s="209">
        <v>0.5</v>
      </c>
      <c r="F279" s="164">
        <v>6</v>
      </c>
      <c r="G279" s="164">
        <f>'Assumptions HR_AUN'!$F$8</f>
        <v>80.053187003968247</v>
      </c>
      <c r="H279" s="164">
        <f t="shared" ref="H279:H283" si="253">E279*F279*G279</f>
        <v>240.15956101190474</v>
      </c>
      <c r="I279" s="164">
        <f t="shared" ref="I279:K279" si="254">$H279*I$277</f>
        <v>240159.56101190473</v>
      </c>
      <c r="J279" s="164">
        <f t="shared" si="254"/>
        <v>1200797.8050595238</v>
      </c>
      <c r="K279" s="164">
        <f t="shared" si="254"/>
        <v>1200797.8050595238</v>
      </c>
      <c r="L279" s="111"/>
      <c r="M279" s="111"/>
      <c r="N279" s="111"/>
      <c r="O279" s="111"/>
      <c r="P279" s="111"/>
      <c r="Q279" s="111"/>
      <c r="R279" s="111"/>
      <c r="S279" s="712"/>
      <c r="T279" s="169" t="s">
        <v>946</v>
      </c>
      <c r="U279" s="169" t="s">
        <v>946</v>
      </c>
      <c r="V279" s="121" t="s">
        <v>977</v>
      </c>
      <c r="W279" s="121" t="s">
        <v>961</v>
      </c>
      <c r="X279" s="170">
        <f t="shared" ref="X279:X283" si="255">G279*$D$35*$D$36</f>
        <v>40346.806249999994</v>
      </c>
      <c r="Y279" s="200">
        <f t="shared" ref="Y279:Y285" si="256">I279/X279</f>
        <v>5.9523809523809526</v>
      </c>
      <c r="Z279" s="167">
        <f t="shared" ref="Z279:Z285" si="257">X279*Y279</f>
        <v>240159.56101190473</v>
      </c>
      <c r="AA279" s="164">
        <f t="shared" ref="AA279:AA283" si="258">X279</f>
        <v>40346.806249999994</v>
      </c>
      <c r="AB279" s="200">
        <f t="shared" ref="AB279:AB285" si="259">J279/AA279</f>
        <v>29.761904761904766</v>
      </c>
      <c r="AC279" s="167">
        <f t="shared" ref="AC279:AC285" si="260">AA279*AB279</f>
        <v>1200797.8050595238</v>
      </c>
      <c r="AD279" s="164">
        <f t="shared" ref="AD279:AD283" si="261">AA279</f>
        <v>40346.806249999994</v>
      </c>
      <c r="AE279" s="200">
        <f t="shared" ref="AE279:AE285" si="262">K279/AD279</f>
        <v>29.761904761904766</v>
      </c>
      <c r="AF279" s="167">
        <f t="shared" ref="AF279:AF285" si="263">AD279*AE279</f>
        <v>1200797.8050595238</v>
      </c>
      <c r="AG279" s="67"/>
    </row>
    <row r="280" spans="1:33">
      <c r="A280" s="134"/>
      <c r="B280" s="153">
        <v>2</v>
      </c>
      <c r="C280" s="121" t="s">
        <v>978</v>
      </c>
      <c r="D280" s="121" t="s">
        <v>1087</v>
      </c>
      <c r="E280" s="209">
        <v>1</v>
      </c>
      <c r="F280" s="164">
        <v>1</v>
      </c>
      <c r="G280" s="164">
        <f>'Assumptions HR_AUN'!$F$8</f>
        <v>80.053187003968247</v>
      </c>
      <c r="H280" s="164">
        <f t="shared" si="253"/>
        <v>80.053187003968247</v>
      </c>
      <c r="I280" s="164">
        <f t="shared" ref="I280:K280" si="264">$H280*I$277</f>
        <v>80053.187003968254</v>
      </c>
      <c r="J280" s="164">
        <f t="shared" si="264"/>
        <v>400265.93501984124</v>
      </c>
      <c r="K280" s="164">
        <f t="shared" si="264"/>
        <v>400265.93501984124</v>
      </c>
      <c r="L280" s="111"/>
      <c r="M280" s="111"/>
      <c r="N280" s="111"/>
      <c r="O280" s="111"/>
      <c r="P280" s="111"/>
      <c r="Q280" s="111"/>
      <c r="R280" s="111"/>
      <c r="S280" s="712"/>
      <c r="T280" s="169" t="s">
        <v>946</v>
      </c>
      <c r="U280" s="169" t="s">
        <v>946</v>
      </c>
      <c r="V280" s="121" t="s">
        <v>977</v>
      </c>
      <c r="W280" s="121" t="s">
        <v>961</v>
      </c>
      <c r="X280" s="170">
        <f t="shared" si="255"/>
        <v>40346.806249999994</v>
      </c>
      <c r="Y280" s="200">
        <f t="shared" si="256"/>
        <v>1.9841269841269844</v>
      </c>
      <c r="Z280" s="167">
        <f t="shared" si="257"/>
        <v>80053.187003968254</v>
      </c>
      <c r="AA280" s="164">
        <f t="shared" si="258"/>
        <v>40346.806249999994</v>
      </c>
      <c r="AB280" s="200">
        <f t="shared" si="259"/>
        <v>9.9206349206349209</v>
      </c>
      <c r="AC280" s="167">
        <f t="shared" si="260"/>
        <v>400265.93501984124</v>
      </c>
      <c r="AD280" s="164">
        <f t="shared" si="261"/>
        <v>40346.806249999994</v>
      </c>
      <c r="AE280" s="200">
        <f t="shared" si="262"/>
        <v>9.9206349206349209</v>
      </c>
      <c r="AF280" s="167">
        <f t="shared" si="263"/>
        <v>400265.93501984124</v>
      </c>
      <c r="AG280" s="67"/>
    </row>
    <row r="281" spans="1:33">
      <c r="A281" s="134"/>
      <c r="B281" s="153">
        <v>3</v>
      </c>
      <c r="C281" s="121" t="s">
        <v>978</v>
      </c>
      <c r="D281" s="121" t="s">
        <v>1088</v>
      </c>
      <c r="E281" s="209">
        <v>0.1</v>
      </c>
      <c r="F281" s="164">
        <v>12</v>
      </c>
      <c r="G281" s="164">
        <f>'Assumptions HR_AUN'!$F$8</f>
        <v>80.053187003968247</v>
      </c>
      <c r="H281" s="164">
        <f t="shared" si="253"/>
        <v>96.063824404761917</v>
      </c>
      <c r="I281" s="164">
        <f t="shared" ref="I281:K281" si="265">$H281*I$277</f>
        <v>96063.824404761923</v>
      </c>
      <c r="J281" s="164">
        <f t="shared" si="265"/>
        <v>480319.12202380958</v>
      </c>
      <c r="K281" s="164">
        <f t="shared" si="265"/>
        <v>480319.12202380958</v>
      </c>
      <c r="L281" s="111"/>
      <c r="M281" s="111"/>
      <c r="N281" s="111"/>
      <c r="O281" s="111"/>
      <c r="P281" s="111"/>
      <c r="Q281" s="111"/>
      <c r="R281" s="111"/>
      <c r="S281" s="712"/>
      <c r="T281" s="169" t="s">
        <v>946</v>
      </c>
      <c r="U281" s="169" t="s">
        <v>946</v>
      </c>
      <c r="V281" s="121" t="s">
        <v>977</v>
      </c>
      <c r="W281" s="121" t="s">
        <v>961</v>
      </c>
      <c r="X281" s="170">
        <f t="shared" si="255"/>
        <v>40346.806249999994</v>
      </c>
      <c r="Y281" s="200">
        <f t="shared" si="256"/>
        <v>2.3809523809523818</v>
      </c>
      <c r="Z281" s="167">
        <f t="shared" si="257"/>
        <v>96063.824404761923</v>
      </c>
      <c r="AA281" s="164">
        <f t="shared" si="258"/>
        <v>40346.806249999994</v>
      </c>
      <c r="AB281" s="200">
        <f t="shared" si="259"/>
        <v>11.904761904761909</v>
      </c>
      <c r="AC281" s="167">
        <f t="shared" si="260"/>
        <v>480319.12202380958</v>
      </c>
      <c r="AD281" s="164">
        <f t="shared" si="261"/>
        <v>40346.806249999994</v>
      </c>
      <c r="AE281" s="200">
        <f t="shared" si="262"/>
        <v>11.904761904761909</v>
      </c>
      <c r="AF281" s="167">
        <f t="shared" si="263"/>
        <v>480319.12202380958</v>
      </c>
      <c r="AG281" s="67"/>
    </row>
    <row r="282" spans="1:33">
      <c r="A282" s="134"/>
      <c r="B282" s="153">
        <v>4</v>
      </c>
      <c r="C282" s="121" t="s">
        <v>978</v>
      </c>
      <c r="D282" s="121" t="s">
        <v>1089</v>
      </c>
      <c r="E282" s="209">
        <v>0.1</v>
      </c>
      <c r="F282" s="164">
        <v>6</v>
      </c>
      <c r="G282" s="164">
        <f>'Assumptions HR_AUN'!$F$8</f>
        <v>80.053187003968247</v>
      </c>
      <c r="H282" s="164">
        <f t="shared" si="253"/>
        <v>48.031912202380958</v>
      </c>
      <c r="I282" s="164">
        <f t="shared" ref="I282:K282" si="266">$H282*I$277</f>
        <v>48031.912202380961</v>
      </c>
      <c r="J282" s="164">
        <f t="shared" si="266"/>
        <v>240159.56101190479</v>
      </c>
      <c r="K282" s="164">
        <f t="shared" si="266"/>
        <v>240159.56101190479</v>
      </c>
      <c r="L282" s="111"/>
      <c r="M282" s="111"/>
      <c r="N282" s="111"/>
      <c r="O282" s="111"/>
      <c r="P282" s="111"/>
      <c r="Q282" s="111"/>
      <c r="R282" s="111"/>
      <c r="S282" s="712"/>
      <c r="T282" s="169" t="s">
        <v>946</v>
      </c>
      <c r="U282" s="169" t="s">
        <v>946</v>
      </c>
      <c r="V282" s="121" t="s">
        <v>977</v>
      </c>
      <c r="W282" s="121" t="s">
        <v>961</v>
      </c>
      <c r="X282" s="170">
        <f t="shared" si="255"/>
        <v>40346.806249999994</v>
      </c>
      <c r="Y282" s="200">
        <f t="shared" si="256"/>
        <v>1.1904761904761909</v>
      </c>
      <c r="Z282" s="167">
        <f t="shared" si="257"/>
        <v>48031.912202380961</v>
      </c>
      <c r="AA282" s="164">
        <f t="shared" si="258"/>
        <v>40346.806249999994</v>
      </c>
      <c r="AB282" s="200">
        <f t="shared" si="259"/>
        <v>5.9523809523809543</v>
      </c>
      <c r="AC282" s="167">
        <f t="shared" si="260"/>
        <v>240159.56101190479</v>
      </c>
      <c r="AD282" s="164">
        <f t="shared" si="261"/>
        <v>40346.806249999994</v>
      </c>
      <c r="AE282" s="200">
        <f t="shared" si="262"/>
        <v>5.9523809523809543</v>
      </c>
      <c r="AF282" s="167">
        <f t="shared" si="263"/>
        <v>240159.56101190479</v>
      </c>
      <c r="AG282" s="67"/>
    </row>
    <row r="283" spans="1:33">
      <c r="A283" s="134"/>
      <c r="B283" s="153">
        <v>5</v>
      </c>
      <c r="C283" s="121" t="s">
        <v>978</v>
      </c>
      <c r="D283" s="121" t="s">
        <v>1090</v>
      </c>
      <c r="E283" s="209">
        <v>1</v>
      </c>
      <c r="F283" s="164">
        <v>1</v>
      </c>
      <c r="G283" s="164">
        <f>'Assumptions HR_AUN'!$F$8</f>
        <v>80.053187003968247</v>
      </c>
      <c r="H283" s="164">
        <f t="shared" si="253"/>
        <v>80.053187003968247</v>
      </c>
      <c r="I283" s="164">
        <f t="shared" ref="I283:K283" si="267">$H283*I$277</f>
        <v>80053.187003968254</v>
      </c>
      <c r="J283" s="164">
        <f t="shared" si="267"/>
        <v>400265.93501984124</v>
      </c>
      <c r="K283" s="164">
        <f t="shared" si="267"/>
        <v>400265.93501984124</v>
      </c>
      <c r="L283" s="111"/>
      <c r="M283" s="111"/>
      <c r="N283" s="111"/>
      <c r="O283" s="111"/>
      <c r="P283" s="111"/>
      <c r="Q283" s="111"/>
      <c r="R283" s="111"/>
      <c r="S283" s="712"/>
      <c r="T283" s="169" t="s">
        <v>946</v>
      </c>
      <c r="U283" s="169" t="s">
        <v>946</v>
      </c>
      <c r="V283" s="121" t="s">
        <v>977</v>
      </c>
      <c r="W283" s="121" t="s">
        <v>961</v>
      </c>
      <c r="X283" s="170">
        <f t="shared" si="255"/>
        <v>40346.806249999994</v>
      </c>
      <c r="Y283" s="200">
        <f t="shared" si="256"/>
        <v>1.9841269841269844</v>
      </c>
      <c r="Z283" s="167">
        <f t="shared" si="257"/>
        <v>80053.187003968254</v>
      </c>
      <c r="AA283" s="164">
        <f t="shared" si="258"/>
        <v>40346.806249999994</v>
      </c>
      <c r="AB283" s="200">
        <f t="shared" si="259"/>
        <v>9.9206349206349209</v>
      </c>
      <c r="AC283" s="167">
        <f t="shared" si="260"/>
        <v>400265.93501984124</v>
      </c>
      <c r="AD283" s="164">
        <f t="shared" si="261"/>
        <v>40346.806249999994</v>
      </c>
      <c r="AE283" s="200">
        <f t="shared" si="262"/>
        <v>9.9206349206349209</v>
      </c>
      <c r="AF283" s="167">
        <f t="shared" si="263"/>
        <v>400265.93501984124</v>
      </c>
      <c r="AG283" s="67"/>
    </row>
    <row r="284" spans="1:33">
      <c r="A284" s="134"/>
      <c r="B284" s="153">
        <v>6</v>
      </c>
      <c r="C284" s="121" t="s">
        <v>1001</v>
      </c>
      <c r="D284" s="121"/>
      <c r="E284" s="209"/>
      <c r="F284" s="121"/>
      <c r="G284" s="185">
        <f>$C$13</f>
        <v>0.1</v>
      </c>
      <c r="H284" s="164">
        <f>SUM(H279:H283)*G284</f>
        <v>54.436167162698418</v>
      </c>
      <c r="I284" s="164">
        <f t="shared" ref="I284:K284" si="268">$H284*I$277</f>
        <v>54436.167162698417</v>
      </c>
      <c r="J284" s="164">
        <f t="shared" si="268"/>
        <v>272180.83581349207</v>
      </c>
      <c r="K284" s="164">
        <f t="shared" si="268"/>
        <v>272180.83581349207</v>
      </c>
      <c r="L284" s="111"/>
      <c r="M284" s="111"/>
      <c r="N284" s="111"/>
      <c r="O284" s="111"/>
      <c r="P284" s="111"/>
      <c r="Q284" s="111"/>
      <c r="R284" s="111"/>
      <c r="S284" s="712"/>
      <c r="T284" s="169" t="s">
        <v>946</v>
      </c>
      <c r="U284" s="169" t="s">
        <v>946</v>
      </c>
      <c r="V284" s="121" t="s">
        <v>875</v>
      </c>
      <c r="W284" s="121" t="s">
        <v>961</v>
      </c>
      <c r="X284" s="170">
        <f>'Assumptions HR_AUN'!$D$4*3</f>
        <v>88211.039066799218</v>
      </c>
      <c r="Y284" s="200">
        <f t="shared" si="256"/>
        <v>0.61711286635537488</v>
      </c>
      <c r="Z284" s="167">
        <f t="shared" si="257"/>
        <v>54436.167162698417</v>
      </c>
      <c r="AA284" s="170">
        <f>'Assumptions HR_AUN'!$D$4*3</f>
        <v>88211.039066799218</v>
      </c>
      <c r="AB284" s="200">
        <f t="shared" si="259"/>
        <v>3.0855643317768742</v>
      </c>
      <c r="AC284" s="167">
        <f t="shared" si="260"/>
        <v>272180.83581349207</v>
      </c>
      <c r="AD284" s="170">
        <f>'Assumptions HR_AUN'!$D$4*3</f>
        <v>88211.039066799218</v>
      </c>
      <c r="AE284" s="200">
        <f t="shared" si="262"/>
        <v>3.0855643317768742</v>
      </c>
      <c r="AF284" s="167">
        <f t="shared" si="263"/>
        <v>272180.83581349207</v>
      </c>
      <c r="AG284" s="67"/>
    </row>
    <row r="285" spans="1:33">
      <c r="A285" s="134"/>
      <c r="B285" s="153">
        <v>7</v>
      </c>
      <c r="C285" s="121" t="s">
        <v>962</v>
      </c>
      <c r="D285" s="121"/>
      <c r="E285" s="121"/>
      <c r="F285" s="121"/>
      <c r="G285" s="185">
        <f>$C$14</f>
        <v>0.15</v>
      </c>
      <c r="H285" s="164">
        <f>SUM(H279:H283)*G285</f>
        <v>81.654250744047616</v>
      </c>
      <c r="I285" s="164">
        <f t="shared" ref="I285:K285" si="269">$H285*I$277</f>
        <v>81654.250744047618</v>
      </c>
      <c r="J285" s="164">
        <f t="shared" si="269"/>
        <v>408271.25372023811</v>
      </c>
      <c r="K285" s="164">
        <f t="shared" si="269"/>
        <v>408271.25372023811</v>
      </c>
      <c r="L285" s="111"/>
      <c r="M285" s="111"/>
      <c r="N285" s="111"/>
      <c r="O285" s="111"/>
      <c r="P285" s="111"/>
      <c r="Q285" s="111"/>
      <c r="R285" s="111"/>
      <c r="S285" s="712"/>
      <c r="T285" s="169" t="s">
        <v>946</v>
      </c>
      <c r="U285" s="169" t="s">
        <v>946</v>
      </c>
      <c r="V285" s="121" t="s">
        <v>881</v>
      </c>
      <c r="W285" s="121" t="s">
        <v>964</v>
      </c>
      <c r="X285" s="170">
        <f>I285/4</f>
        <v>20413.562686011905</v>
      </c>
      <c r="Y285" s="200">
        <f t="shared" si="256"/>
        <v>4</v>
      </c>
      <c r="Z285" s="167">
        <f t="shared" si="257"/>
        <v>81654.250744047618</v>
      </c>
      <c r="AA285" s="164">
        <f>J285/4</f>
        <v>102067.81343005953</v>
      </c>
      <c r="AB285" s="200">
        <f t="shared" si="259"/>
        <v>4</v>
      </c>
      <c r="AC285" s="167">
        <f t="shared" si="260"/>
        <v>408271.25372023811</v>
      </c>
      <c r="AD285" s="164">
        <f>K285/4</f>
        <v>102067.81343005953</v>
      </c>
      <c r="AE285" s="200">
        <f t="shared" si="262"/>
        <v>4</v>
      </c>
      <c r="AF285" s="167">
        <f t="shared" si="263"/>
        <v>408271.25372023811</v>
      </c>
      <c r="AG285" s="67"/>
    </row>
    <row r="286" spans="1:33">
      <c r="A286" s="134"/>
      <c r="B286" s="186" t="s">
        <v>770</v>
      </c>
      <c r="C286" s="187"/>
      <c r="D286" s="187"/>
      <c r="E286" s="187"/>
      <c r="F286" s="187"/>
      <c r="G286" s="188"/>
      <c r="H286" s="178">
        <f t="shared" ref="H286:K286" si="270">SUM(H279:H285)</f>
        <v>680.45208953373026</v>
      </c>
      <c r="I286" s="178">
        <f t="shared" si="270"/>
        <v>680452.08953373018</v>
      </c>
      <c r="J286" s="178">
        <f t="shared" si="270"/>
        <v>3402260.4476686511</v>
      </c>
      <c r="K286" s="178">
        <f t="shared" si="270"/>
        <v>3402260.4476686511</v>
      </c>
      <c r="L286" s="111"/>
      <c r="M286" s="111"/>
      <c r="N286" s="111"/>
      <c r="O286" s="111"/>
      <c r="P286" s="111"/>
      <c r="Q286" s="111"/>
      <c r="R286" s="111"/>
      <c r="S286" s="712"/>
      <c r="T286" s="111"/>
      <c r="U286" s="111"/>
      <c r="V286" s="111"/>
      <c r="W286" s="111"/>
      <c r="X286" s="132"/>
      <c r="Y286" s="133"/>
      <c r="Z286" s="132"/>
      <c r="AA286" s="132"/>
      <c r="AB286" s="133"/>
      <c r="AC286" s="132"/>
      <c r="AD286" s="132"/>
      <c r="AE286" s="133"/>
      <c r="AF286" s="132"/>
      <c r="AG286" s="67"/>
    </row>
    <row r="287" spans="1:33">
      <c r="A287" s="9"/>
      <c r="B287" s="111"/>
      <c r="C287" s="111"/>
      <c r="D287" s="111"/>
      <c r="E287" s="111"/>
      <c r="F287" s="111"/>
      <c r="G287" s="111"/>
      <c r="H287" s="151"/>
      <c r="I287" s="111"/>
      <c r="J287" s="111"/>
      <c r="K287" s="111"/>
      <c r="L287" s="111"/>
      <c r="M287" s="111"/>
      <c r="N287" s="111"/>
      <c r="O287" s="111"/>
      <c r="P287" s="111"/>
      <c r="Q287" s="111"/>
      <c r="R287" s="111"/>
      <c r="S287" s="712"/>
      <c r="T287" s="111"/>
      <c r="U287" s="111"/>
      <c r="V287" s="111"/>
      <c r="W287" s="111"/>
      <c r="X287" s="111"/>
      <c r="Y287" s="111"/>
      <c r="Z287" s="111"/>
      <c r="AA287" s="111"/>
      <c r="AB287" s="111"/>
      <c r="AC287" s="111"/>
      <c r="AD287" s="111"/>
      <c r="AE287" s="111"/>
      <c r="AF287" s="111"/>
      <c r="AG287" s="67"/>
    </row>
    <row r="288" spans="1:33">
      <c r="A288" s="9"/>
      <c r="B288" s="111"/>
      <c r="C288" s="111"/>
      <c r="D288" s="111"/>
      <c r="E288" s="111"/>
      <c r="F288" s="111"/>
      <c r="G288" s="111"/>
      <c r="H288" s="151"/>
      <c r="I288" s="111"/>
      <c r="J288" s="111"/>
      <c r="K288" s="111"/>
      <c r="L288" s="111"/>
      <c r="M288" s="111"/>
      <c r="N288" s="111"/>
      <c r="O288" s="111"/>
      <c r="P288" s="111"/>
      <c r="Q288" s="111"/>
      <c r="R288" s="111"/>
      <c r="S288" s="712"/>
      <c r="T288" s="111"/>
      <c r="U288" s="111"/>
      <c r="V288" s="111"/>
      <c r="W288" s="111"/>
      <c r="X288" s="111"/>
      <c r="Y288" s="111"/>
      <c r="Z288" s="111"/>
      <c r="AA288" s="111"/>
      <c r="AB288" s="111"/>
      <c r="AC288" s="111"/>
      <c r="AD288" s="111"/>
      <c r="AE288" s="111"/>
      <c r="AF288" s="111"/>
      <c r="AG288" s="67"/>
    </row>
    <row r="289" spans="1:33">
      <c r="A289" s="9"/>
      <c r="B289" s="215"/>
      <c r="C289" s="215"/>
      <c r="D289" s="215"/>
      <c r="E289" s="215"/>
      <c r="F289" s="215"/>
      <c r="G289" s="215"/>
      <c r="H289" s="215"/>
      <c r="I289" s="215"/>
      <c r="J289" s="215"/>
      <c r="K289" s="215"/>
      <c r="L289" s="111"/>
      <c r="M289" s="111"/>
      <c r="N289" s="111"/>
      <c r="O289" s="111"/>
      <c r="P289" s="111"/>
      <c r="Q289" s="111"/>
      <c r="R289" s="111"/>
      <c r="S289" s="712"/>
      <c r="T289" s="111"/>
      <c r="U289" s="111"/>
      <c r="V289" s="111"/>
      <c r="W289" s="111"/>
      <c r="X289" s="132"/>
      <c r="Y289" s="133"/>
      <c r="Z289" s="132"/>
      <c r="AA289" s="132"/>
      <c r="AB289" s="133"/>
      <c r="AC289" s="132"/>
      <c r="AD289" s="132"/>
      <c r="AE289" s="133"/>
      <c r="AF289" s="132"/>
      <c r="AG289" s="67"/>
    </row>
    <row r="290" spans="1:33">
      <c r="A290" s="725">
        <v>14</v>
      </c>
      <c r="B290" s="726" t="e" vm="1">
        <f>'[2]AUN Budget'!E64</f>
        <v>#VALUE!</v>
      </c>
      <c r="C290" s="731"/>
      <c r="D290" s="731"/>
      <c r="E290" s="731"/>
      <c r="F290" s="731"/>
      <c r="G290" s="731"/>
      <c r="H290" s="731"/>
      <c r="I290" s="216">
        <v>35</v>
      </c>
      <c r="J290" s="216">
        <v>35</v>
      </c>
      <c r="K290" s="216">
        <v>35</v>
      </c>
      <c r="L290" s="111"/>
      <c r="M290" s="111"/>
      <c r="N290" s="111"/>
      <c r="O290" s="111"/>
      <c r="P290" s="111"/>
      <c r="Q290" s="111"/>
      <c r="R290" s="111"/>
      <c r="S290" s="712"/>
      <c r="T290" s="111"/>
      <c r="U290" s="111"/>
      <c r="V290" s="111"/>
      <c r="W290" s="111"/>
      <c r="X290" s="132"/>
      <c r="Y290" s="133"/>
      <c r="Z290" s="132"/>
      <c r="AA290" s="132"/>
      <c r="AB290" s="133"/>
      <c r="AC290" s="132"/>
      <c r="AD290" s="132"/>
      <c r="AE290" s="133"/>
      <c r="AF290" s="132"/>
      <c r="AG290" s="67"/>
    </row>
    <row r="291" spans="1:33">
      <c r="A291" s="157" t="s">
        <v>104</v>
      </c>
      <c r="B291" s="113" t="s">
        <v>755</v>
      </c>
      <c r="C291" s="113" t="s">
        <v>966</v>
      </c>
      <c r="D291" s="113" t="s">
        <v>967</v>
      </c>
      <c r="E291" s="113" t="s">
        <v>968</v>
      </c>
      <c r="F291" s="113" t="s">
        <v>969</v>
      </c>
      <c r="G291" s="113" t="s">
        <v>970</v>
      </c>
      <c r="H291" s="113" t="s">
        <v>971</v>
      </c>
      <c r="I291" s="113" t="s">
        <v>972</v>
      </c>
      <c r="J291" s="113" t="s">
        <v>973</v>
      </c>
      <c r="K291" s="113" t="s">
        <v>974</v>
      </c>
      <c r="L291" s="111"/>
      <c r="M291" s="111"/>
      <c r="N291" s="111"/>
      <c r="O291" s="111"/>
      <c r="P291" s="111"/>
      <c r="Q291" s="182"/>
      <c r="R291" s="182"/>
      <c r="S291" s="727"/>
      <c r="T291" s="159" t="s">
        <v>387</v>
      </c>
      <c r="U291" s="159" t="s">
        <v>388</v>
      </c>
      <c r="V291" s="159" t="s">
        <v>934</v>
      </c>
      <c r="W291" s="160" t="s">
        <v>935</v>
      </c>
      <c r="X291" s="161" t="s">
        <v>936</v>
      </c>
      <c r="Y291" s="162" t="s">
        <v>937</v>
      </c>
      <c r="Z291" s="161" t="s">
        <v>938</v>
      </c>
      <c r="AA291" s="161" t="s">
        <v>939</v>
      </c>
      <c r="AB291" s="162" t="s">
        <v>940</v>
      </c>
      <c r="AC291" s="161" t="s">
        <v>941</v>
      </c>
      <c r="AD291" s="161" t="s">
        <v>942</v>
      </c>
      <c r="AE291" s="162" t="s">
        <v>943</v>
      </c>
      <c r="AF291" s="161" t="s">
        <v>944</v>
      </c>
      <c r="AG291" s="67"/>
    </row>
    <row r="292" spans="1:33">
      <c r="A292" s="134"/>
      <c r="B292" s="153">
        <v>1</v>
      </c>
      <c r="C292" s="121" t="s">
        <v>978</v>
      </c>
      <c r="D292" s="121" t="s">
        <v>1091</v>
      </c>
      <c r="E292" s="209">
        <v>5</v>
      </c>
      <c r="F292" s="164">
        <v>14</v>
      </c>
      <c r="G292" s="164">
        <f>'Assumptions HR_AUN'!$F$8</f>
        <v>80.053187003968247</v>
      </c>
      <c r="H292" s="164">
        <f t="shared" ref="H292:H294" si="271">E292*F292*G292</f>
        <v>5603.7230902777774</v>
      </c>
      <c r="I292" s="164">
        <f t="shared" ref="I292:K292" si="272">$H292*I$290</f>
        <v>196130.30815972222</v>
      </c>
      <c r="J292" s="164">
        <f t="shared" si="272"/>
        <v>196130.30815972222</v>
      </c>
      <c r="K292" s="164">
        <f t="shared" si="272"/>
        <v>196130.30815972222</v>
      </c>
      <c r="L292" s="111"/>
      <c r="M292" s="111"/>
      <c r="N292" s="111"/>
      <c r="O292" s="111"/>
      <c r="P292" s="111"/>
      <c r="Q292" s="111"/>
      <c r="R292" s="111"/>
      <c r="S292" s="712"/>
      <c r="T292" s="169" t="s">
        <v>946</v>
      </c>
      <c r="U292" s="169" t="s">
        <v>946</v>
      </c>
      <c r="V292" s="121" t="s">
        <v>977</v>
      </c>
      <c r="W292" s="121" t="s">
        <v>961</v>
      </c>
      <c r="X292" s="170">
        <f t="shared" ref="X292:X293" si="273">$G292*$D$35*$D$36</f>
        <v>40346.806249999994</v>
      </c>
      <c r="Y292" s="200">
        <f t="shared" ref="Y292:Y293" si="274">I292/X292</f>
        <v>4.8611111111111116</v>
      </c>
      <c r="Z292" s="167">
        <f t="shared" ref="Z292:Z298" si="275">X292*Y292</f>
        <v>196130.30815972222</v>
      </c>
      <c r="AA292" s="164">
        <f t="shared" ref="AA292:AA293" si="276">$G292*$D$35*$D$36</f>
        <v>40346.806249999994</v>
      </c>
      <c r="AB292" s="200">
        <f t="shared" ref="AB292:AB298" si="277">J292/AA292</f>
        <v>4.8611111111111116</v>
      </c>
      <c r="AC292" s="167">
        <f t="shared" ref="AC292:AC298" si="278">AA292*AB292</f>
        <v>196130.30815972222</v>
      </c>
      <c r="AD292" s="164">
        <f t="shared" ref="AD292:AD293" si="279">$G292*$D$35*$D$36</f>
        <v>40346.806249999994</v>
      </c>
      <c r="AE292" s="200">
        <f t="shared" ref="AE292:AE298" si="280">K292/AD292</f>
        <v>4.8611111111111116</v>
      </c>
      <c r="AF292" s="167">
        <f t="shared" ref="AF292:AF298" si="281">AD292*AE292</f>
        <v>196130.30815972222</v>
      </c>
      <c r="AG292" s="67"/>
    </row>
    <row r="293" spans="1:33">
      <c r="A293" s="134"/>
      <c r="B293" s="153">
        <v>2</v>
      </c>
      <c r="C293" s="121" t="s">
        <v>978</v>
      </c>
      <c r="D293" s="121" t="s">
        <v>1091</v>
      </c>
      <c r="E293" s="209">
        <v>0.5</v>
      </c>
      <c r="F293" s="164">
        <v>30</v>
      </c>
      <c r="G293" s="164">
        <f>'Assumptions HR_AUN'!$F$8</f>
        <v>80.053187003968247</v>
      </c>
      <c r="H293" s="164">
        <f t="shared" si="271"/>
        <v>1200.7978050595236</v>
      </c>
      <c r="I293" s="164">
        <f t="shared" ref="I293:K293" si="282">$H293*I$290</f>
        <v>42027.923177083328</v>
      </c>
      <c r="J293" s="164">
        <f t="shared" si="282"/>
        <v>42027.923177083328</v>
      </c>
      <c r="K293" s="164">
        <f t="shared" si="282"/>
        <v>42027.923177083328</v>
      </c>
      <c r="L293" s="111"/>
      <c r="M293" s="111"/>
      <c r="N293" s="111"/>
      <c r="O293" s="111"/>
      <c r="P293" s="111"/>
      <c r="Q293" s="111"/>
      <c r="R293" s="111"/>
      <c r="S293" s="712"/>
      <c r="T293" s="169" t="s">
        <v>946</v>
      </c>
      <c r="U293" s="169" t="s">
        <v>946</v>
      </c>
      <c r="V293" s="121" t="s">
        <v>977</v>
      </c>
      <c r="W293" s="121" t="s">
        <v>961</v>
      </c>
      <c r="X293" s="170">
        <f t="shared" si="273"/>
        <v>40346.806249999994</v>
      </c>
      <c r="Y293" s="200">
        <f t="shared" si="274"/>
        <v>1.0416666666666667</v>
      </c>
      <c r="Z293" s="167">
        <f t="shared" si="275"/>
        <v>42027.923177083328</v>
      </c>
      <c r="AA293" s="164">
        <f t="shared" si="276"/>
        <v>40346.806249999994</v>
      </c>
      <c r="AB293" s="200">
        <f t="shared" si="277"/>
        <v>1.0416666666666667</v>
      </c>
      <c r="AC293" s="167">
        <f t="shared" si="278"/>
        <v>42027.923177083328</v>
      </c>
      <c r="AD293" s="164">
        <f t="shared" si="279"/>
        <v>40346.806249999994</v>
      </c>
      <c r="AE293" s="200">
        <f t="shared" si="280"/>
        <v>1.0416666666666667</v>
      </c>
      <c r="AF293" s="167">
        <f t="shared" si="281"/>
        <v>42027.923177083328</v>
      </c>
      <c r="AG293" s="67"/>
    </row>
    <row r="294" spans="1:33">
      <c r="A294" s="134"/>
      <c r="B294" s="153">
        <v>3</v>
      </c>
      <c r="C294" s="121" t="s">
        <v>1092</v>
      </c>
      <c r="D294" s="121" t="s">
        <v>1093</v>
      </c>
      <c r="E294" s="209">
        <v>1</v>
      </c>
      <c r="F294" s="164">
        <v>14</v>
      </c>
      <c r="G294" s="164">
        <v>200</v>
      </c>
      <c r="H294" s="164">
        <f t="shared" si="271"/>
        <v>2800</v>
      </c>
      <c r="I294" s="164">
        <f t="shared" ref="I294:K294" si="283">$H294*I$290</f>
        <v>98000</v>
      </c>
      <c r="J294" s="164">
        <f t="shared" si="283"/>
        <v>98000</v>
      </c>
      <c r="K294" s="164">
        <f t="shared" si="283"/>
        <v>98000</v>
      </c>
      <c r="L294" s="111"/>
      <c r="M294" s="111"/>
      <c r="N294" s="111"/>
      <c r="O294" s="111"/>
      <c r="P294" s="111"/>
      <c r="Q294" s="111"/>
      <c r="R294" s="111"/>
      <c r="S294" s="712"/>
      <c r="T294" s="169" t="s">
        <v>946</v>
      </c>
      <c r="U294" s="169" t="s">
        <v>946</v>
      </c>
      <c r="V294" s="121" t="s">
        <v>813</v>
      </c>
      <c r="W294" s="121" t="s">
        <v>1094</v>
      </c>
      <c r="X294" s="170">
        <f t="shared" ref="X294:X296" si="284">G294</f>
        <v>200</v>
      </c>
      <c r="Y294" s="200">
        <f>F294*35</f>
        <v>490</v>
      </c>
      <c r="Z294" s="167">
        <f t="shared" si="275"/>
        <v>98000</v>
      </c>
      <c r="AA294" s="164">
        <f>G294</f>
        <v>200</v>
      </c>
      <c r="AB294" s="200">
        <f t="shared" si="277"/>
        <v>490</v>
      </c>
      <c r="AC294" s="167">
        <f t="shared" si="278"/>
        <v>98000</v>
      </c>
      <c r="AD294" s="164">
        <f>$G$294</f>
        <v>200</v>
      </c>
      <c r="AE294" s="200">
        <f t="shared" si="280"/>
        <v>490</v>
      </c>
      <c r="AF294" s="167">
        <f t="shared" si="281"/>
        <v>98000</v>
      </c>
      <c r="AG294" s="67"/>
    </row>
    <row r="295" spans="1:33">
      <c r="A295" s="134"/>
      <c r="B295" s="153">
        <v>4</v>
      </c>
      <c r="C295" s="121" t="s">
        <v>985</v>
      </c>
      <c r="D295" s="121" t="s">
        <v>1095</v>
      </c>
      <c r="E295" s="209"/>
      <c r="F295" s="164">
        <v>14</v>
      </c>
      <c r="G295" s="164">
        <f>$D$32</f>
        <v>60</v>
      </c>
      <c r="H295" s="164">
        <f t="shared" ref="H295:H296" si="285">F295*G295</f>
        <v>840</v>
      </c>
      <c r="I295" s="164">
        <f t="shared" ref="I295:K295" si="286">$H295*I$290</f>
        <v>29400</v>
      </c>
      <c r="J295" s="164">
        <f t="shared" si="286"/>
        <v>29400</v>
      </c>
      <c r="K295" s="164">
        <f t="shared" si="286"/>
        <v>29400</v>
      </c>
      <c r="L295" s="111"/>
      <c r="M295" s="111"/>
      <c r="N295" s="111"/>
      <c r="O295" s="111"/>
      <c r="P295" s="111"/>
      <c r="Q295" s="111"/>
      <c r="R295" s="111"/>
      <c r="S295" s="712"/>
      <c r="T295" s="169" t="s">
        <v>946</v>
      </c>
      <c r="U295" s="169" t="s">
        <v>946</v>
      </c>
      <c r="V295" s="121" t="s">
        <v>957</v>
      </c>
      <c r="W295" s="121" t="s">
        <v>789</v>
      </c>
      <c r="X295" s="170">
        <f t="shared" si="284"/>
        <v>60</v>
      </c>
      <c r="Y295" s="200">
        <f t="shared" ref="Y295:Y298" si="287">I295/X295</f>
        <v>490</v>
      </c>
      <c r="Z295" s="167">
        <f t="shared" si="275"/>
        <v>29400</v>
      </c>
      <c r="AA295" s="164">
        <f t="shared" ref="AA295:AA298" si="288">X295</f>
        <v>60</v>
      </c>
      <c r="AB295" s="200">
        <f t="shared" si="277"/>
        <v>490</v>
      </c>
      <c r="AC295" s="167">
        <f t="shared" si="278"/>
        <v>29400</v>
      </c>
      <c r="AD295" s="164">
        <f t="shared" ref="AD295:AD297" si="289">AA295</f>
        <v>60</v>
      </c>
      <c r="AE295" s="200">
        <f t="shared" si="280"/>
        <v>490</v>
      </c>
      <c r="AF295" s="167">
        <f t="shared" si="281"/>
        <v>29400</v>
      </c>
      <c r="AG295" s="67"/>
    </row>
    <row r="296" spans="1:33">
      <c r="A296" s="134"/>
      <c r="B296" s="153">
        <v>5</v>
      </c>
      <c r="C296" s="121" t="s">
        <v>987</v>
      </c>
      <c r="D296" s="121" t="s">
        <v>1096</v>
      </c>
      <c r="E296" s="209"/>
      <c r="F296" s="164">
        <v>60</v>
      </c>
      <c r="G296" s="164">
        <f>$D$20</f>
        <v>156</v>
      </c>
      <c r="H296" s="164">
        <f t="shared" si="285"/>
        <v>9360</v>
      </c>
      <c r="I296" s="164">
        <f t="shared" ref="I296:K296" si="290">$H296*I$290</f>
        <v>327600</v>
      </c>
      <c r="J296" s="164">
        <f t="shared" si="290"/>
        <v>327600</v>
      </c>
      <c r="K296" s="164">
        <f t="shared" si="290"/>
        <v>327600</v>
      </c>
      <c r="L296" s="111"/>
      <c r="M296" s="111"/>
      <c r="N296" s="111"/>
      <c r="O296" s="111"/>
      <c r="P296" s="111"/>
      <c r="Q296" s="111"/>
      <c r="R296" s="111"/>
      <c r="S296" s="712"/>
      <c r="T296" s="169" t="s">
        <v>946</v>
      </c>
      <c r="U296" s="169" t="s">
        <v>946</v>
      </c>
      <c r="V296" s="121" t="s">
        <v>989</v>
      </c>
      <c r="W296" s="121" t="s">
        <v>789</v>
      </c>
      <c r="X296" s="170">
        <f t="shared" si="284"/>
        <v>156</v>
      </c>
      <c r="Y296" s="200">
        <f t="shared" si="287"/>
        <v>2100</v>
      </c>
      <c r="Z296" s="167">
        <f t="shared" si="275"/>
        <v>327600</v>
      </c>
      <c r="AA296" s="164">
        <f t="shared" si="288"/>
        <v>156</v>
      </c>
      <c r="AB296" s="200">
        <f t="shared" si="277"/>
        <v>2100</v>
      </c>
      <c r="AC296" s="167">
        <f t="shared" si="278"/>
        <v>327600</v>
      </c>
      <c r="AD296" s="164">
        <f t="shared" si="289"/>
        <v>156</v>
      </c>
      <c r="AE296" s="200">
        <f t="shared" si="280"/>
        <v>2100</v>
      </c>
      <c r="AF296" s="167">
        <f t="shared" si="281"/>
        <v>327600</v>
      </c>
      <c r="AG296" s="67"/>
    </row>
    <row r="297" spans="1:33">
      <c r="A297" s="134"/>
      <c r="B297" s="153">
        <v>6</v>
      </c>
      <c r="C297" s="121" t="s">
        <v>1001</v>
      </c>
      <c r="D297" s="121"/>
      <c r="E297" s="209"/>
      <c r="F297" s="121"/>
      <c r="G297" s="185">
        <f>$C$13</f>
        <v>0.1</v>
      </c>
      <c r="H297" s="164">
        <f>SUM(H292:H296)*G297</f>
        <v>1980.45208953373</v>
      </c>
      <c r="I297" s="164">
        <f t="shared" ref="I297:K297" si="291">$H297*I$290</f>
        <v>69315.823133680547</v>
      </c>
      <c r="J297" s="164">
        <f t="shared" si="291"/>
        <v>69315.823133680547</v>
      </c>
      <c r="K297" s="164">
        <f t="shared" si="291"/>
        <v>69315.823133680547</v>
      </c>
      <c r="L297" s="111"/>
      <c r="M297" s="111"/>
      <c r="N297" s="111"/>
      <c r="O297" s="111"/>
      <c r="P297" s="111"/>
      <c r="Q297" s="111"/>
      <c r="R297" s="111"/>
      <c r="S297" s="712"/>
      <c r="T297" s="169" t="s">
        <v>946</v>
      </c>
      <c r="U297" s="169" t="s">
        <v>946</v>
      </c>
      <c r="V297" s="121" t="s">
        <v>875</v>
      </c>
      <c r="W297" s="121" t="s">
        <v>961</v>
      </c>
      <c r="X297" s="170">
        <f>'Assumptions HR_AUN'!$D$4*3</f>
        <v>88211.039066799218</v>
      </c>
      <c r="Y297" s="200">
        <f t="shared" si="287"/>
        <v>0.78579533658128697</v>
      </c>
      <c r="Z297" s="167">
        <f t="shared" si="275"/>
        <v>69315.823133680547</v>
      </c>
      <c r="AA297" s="164">
        <f t="shared" si="288"/>
        <v>88211.039066799218</v>
      </c>
      <c r="AB297" s="200">
        <f t="shared" si="277"/>
        <v>0.78579533658128697</v>
      </c>
      <c r="AC297" s="167">
        <f t="shared" si="278"/>
        <v>69315.823133680547</v>
      </c>
      <c r="AD297" s="164">
        <f t="shared" si="289"/>
        <v>88211.039066799218</v>
      </c>
      <c r="AE297" s="200">
        <f t="shared" si="280"/>
        <v>0.78579533658128697</v>
      </c>
      <c r="AF297" s="167">
        <f t="shared" si="281"/>
        <v>69315.823133680547</v>
      </c>
      <c r="AG297" s="67"/>
    </row>
    <row r="298" spans="1:33">
      <c r="A298" s="134"/>
      <c r="B298" s="153">
        <v>7</v>
      </c>
      <c r="C298" s="121" t="s">
        <v>962</v>
      </c>
      <c r="D298" s="121"/>
      <c r="E298" s="209"/>
      <c r="F298" s="121"/>
      <c r="G298" s="185">
        <f>$C$14</f>
        <v>0.15</v>
      </c>
      <c r="H298" s="164">
        <f>SUM(H292:H297)*G298</f>
        <v>3267.7459477306543</v>
      </c>
      <c r="I298" s="164">
        <f t="shared" ref="I298:K298" si="292">$H298*I$290</f>
        <v>114371.1081705729</v>
      </c>
      <c r="J298" s="164">
        <f t="shared" si="292"/>
        <v>114371.1081705729</v>
      </c>
      <c r="K298" s="164">
        <f t="shared" si="292"/>
        <v>114371.1081705729</v>
      </c>
      <c r="L298" s="111"/>
      <c r="M298" s="111"/>
      <c r="N298" s="111"/>
      <c r="O298" s="111"/>
      <c r="P298" s="111"/>
      <c r="Q298" s="111"/>
      <c r="R298" s="111"/>
      <c r="S298" s="712"/>
      <c r="T298" s="169" t="s">
        <v>946</v>
      </c>
      <c r="U298" s="169" t="s">
        <v>946</v>
      </c>
      <c r="V298" s="121" t="s">
        <v>881</v>
      </c>
      <c r="W298" s="121" t="s">
        <v>964</v>
      </c>
      <c r="X298" s="170">
        <f>$I$298/4</f>
        <v>28592.777042643225</v>
      </c>
      <c r="Y298" s="200">
        <f t="shared" si="287"/>
        <v>4</v>
      </c>
      <c r="Z298" s="167">
        <f t="shared" si="275"/>
        <v>114371.1081705729</v>
      </c>
      <c r="AA298" s="164">
        <f t="shared" si="288"/>
        <v>28592.777042643225</v>
      </c>
      <c r="AB298" s="200">
        <f t="shared" si="277"/>
        <v>4</v>
      </c>
      <c r="AC298" s="167">
        <f t="shared" si="278"/>
        <v>114371.1081705729</v>
      </c>
      <c r="AD298" s="164">
        <f>$K$298/4</f>
        <v>28592.777042643225</v>
      </c>
      <c r="AE298" s="200">
        <f t="shared" si="280"/>
        <v>4</v>
      </c>
      <c r="AF298" s="167">
        <f t="shared" si="281"/>
        <v>114371.1081705729</v>
      </c>
      <c r="AG298" s="67"/>
    </row>
    <row r="299" spans="1:33">
      <c r="A299" s="134"/>
      <c r="B299" s="212" t="s">
        <v>770</v>
      </c>
      <c r="C299" s="212"/>
      <c r="D299" s="212"/>
      <c r="E299" s="212"/>
      <c r="F299" s="212"/>
      <c r="G299" s="178"/>
      <c r="H299" s="178">
        <f t="shared" ref="H299:K299" si="293">SUM(H292:H298)</f>
        <v>25052.718932601685</v>
      </c>
      <c r="I299" s="178">
        <f t="shared" si="293"/>
        <v>876845.16264105891</v>
      </c>
      <c r="J299" s="178">
        <f t="shared" si="293"/>
        <v>876845.16264105891</v>
      </c>
      <c r="K299" s="178">
        <f t="shared" si="293"/>
        <v>876845.16264105891</v>
      </c>
      <c r="L299" s="111"/>
      <c r="M299" s="111"/>
      <c r="N299" s="111"/>
      <c r="O299" s="111"/>
      <c r="P299" s="111"/>
      <c r="Q299" s="111"/>
      <c r="R299" s="111"/>
      <c r="S299" s="712"/>
      <c r="T299" s="111"/>
      <c r="U299" s="111"/>
      <c r="V299" s="111"/>
      <c r="W299" s="111"/>
      <c r="X299" s="132"/>
      <c r="Y299" s="133"/>
      <c r="Z299" s="132"/>
      <c r="AA299" s="132"/>
      <c r="AB299" s="133"/>
      <c r="AC299" s="132"/>
      <c r="AD299" s="132"/>
      <c r="AE299" s="133"/>
      <c r="AF299" s="132"/>
      <c r="AG299" s="67"/>
    </row>
    <row r="300" spans="1:33">
      <c r="A300" s="9"/>
      <c r="B300" s="111"/>
      <c r="C300" s="111"/>
      <c r="D300" s="111"/>
      <c r="E300" s="111"/>
      <c r="F300" s="111"/>
      <c r="G300" s="111"/>
      <c r="H300" s="151"/>
      <c r="I300" s="111"/>
      <c r="J300" s="111"/>
      <c r="K300" s="111"/>
      <c r="L300" s="111"/>
      <c r="M300" s="111"/>
      <c r="N300" s="111"/>
      <c r="O300" s="111"/>
      <c r="P300" s="111"/>
      <c r="Q300" s="111"/>
      <c r="R300" s="111"/>
      <c r="S300" s="712"/>
      <c r="T300" s="111"/>
      <c r="U300" s="111"/>
      <c r="V300" s="111"/>
      <c r="W300" s="111"/>
      <c r="X300" s="111"/>
      <c r="Y300" s="111"/>
      <c r="Z300" s="111"/>
      <c r="AA300" s="111"/>
      <c r="AB300" s="111"/>
      <c r="AC300" s="111"/>
      <c r="AD300" s="111"/>
      <c r="AE300" s="111"/>
      <c r="AF300" s="111"/>
      <c r="AG300" s="67"/>
    </row>
    <row r="301" spans="1:33">
      <c r="A301" s="9"/>
      <c r="B301" s="111"/>
      <c r="C301" s="111"/>
      <c r="D301" s="111"/>
      <c r="E301" s="111"/>
      <c r="F301" s="111"/>
      <c r="G301" s="111"/>
      <c r="H301" s="151"/>
      <c r="I301" s="111"/>
      <c r="J301" s="111"/>
      <c r="K301" s="111"/>
      <c r="L301" s="111"/>
      <c r="M301" s="111"/>
      <c r="N301" s="111"/>
      <c r="O301" s="111"/>
      <c r="P301" s="111"/>
      <c r="Q301" s="111"/>
      <c r="R301" s="111"/>
      <c r="S301" s="712"/>
      <c r="T301" s="111"/>
      <c r="U301" s="111"/>
      <c r="V301" s="111"/>
      <c r="W301" s="111"/>
      <c r="X301" s="111"/>
      <c r="Y301" s="111"/>
      <c r="Z301" s="111"/>
      <c r="AA301" s="111"/>
      <c r="AB301" s="111"/>
      <c r="AC301" s="111"/>
      <c r="AD301" s="111"/>
      <c r="AE301" s="111"/>
      <c r="AF301" s="111"/>
      <c r="AG301" s="67"/>
    </row>
    <row r="302" spans="1:33">
      <c r="A302" s="9"/>
      <c r="B302" s="111"/>
      <c r="C302" s="111"/>
      <c r="D302" s="111"/>
      <c r="E302" s="111"/>
      <c r="F302" s="111"/>
      <c r="G302" s="111"/>
      <c r="H302" s="111"/>
      <c r="I302" s="67"/>
      <c r="J302" s="67"/>
      <c r="K302" s="67"/>
      <c r="L302" s="67"/>
      <c r="M302" s="111"/>
      <c r="N302" s="111"/>
      <c r="O302" s="111"/>
      <c r="P302" s="111"/>
      <c r="Q302" s="111"/>
      <c r="R302" s="111"/>
      <c r="S302" s="712"/>
      <c r="T302" s="111"/>
      <c r="U302" s="111"/>
      <c r="V302" s="111"/>
      <c r="W302" s="111"/>
      <c r="X302" s="132"/>
      <c r="Y302" s="133"/>
      <c r="Z302" s="132"/>
      <c r="AA302" s="132"/>
      <c r="AB302" s="133"/>
      <c r="AC302" s="132"/>
      <c r="AD302" s="132"/>
      <c r="AE302" s="133"/>
      <c r="AF302" s="132"/>
      <c r="AG302" s="67"/>
    </row>
    <row r="303" spans="1:33">
      <c r="A303" s="725">
        <v>15</v>
      </c>
      <c r="B303" s="726" t="e" vm="1">
        <f>'[2]AUN Budget'!$E$70</f>
        <v>#VALUE!</v>
      </c>
      <c r="C303" s="731"/>
      <c r="D303" s="731"/>
      <c r="E303" s="731"/>
      <c r="F303" s="731"/>
      <c r="G303" s="731"/>
      <c r="H303" s="731"/>
      <c r="I303" s="216">
        <v>0</v>
      </c>
      <c r="J303" s="216">
        <v>40</v>
      </c>
      <c r="K303" s="216">
        <v>400</v>
      </c>
      <c r="L303" s="111"/>
      <c r="M303" s="111"/>
      <c r="N303" s="111"/>
      <c r="O303" s="111"/>
      <c r="P303" s="111"/>
      <c r="Q303" s="111"/>
      <c r="R303" s="111"/>
      <c r="S303" s="712"/>
      <c r="T303" s="111"/>
      <c r="U303" s="111"/>
      <c r="V303" s="111"/>
      <c r="W303" s="111"/>
      <c r="X303" s="132"/>
      <c r="Y303" s="133"/>
      <c r="Z303" s="132"/>
      <c r="AA303" s="132"/>
      <c r="AB303" s="133"/>
      <c r="AC303" s="132"/>
      <c r="AD303" s="132"/>
      <c r="AE303" s="133"/>
      <c r="AF303" s="132"/>
      <c r="AG303" s="67"/>
    </row>
    <row r="304" spans="1:33">
      <c r="A304" s="157" t="s">
        <v>22</v>
      </c>
      <c r="B304" s="113" t="s">
        <v>755</v>
      </c>
      <c r="C304" s="113" t="s">
        <v>966</v>
      </c>
      <c r="D304" s="113" t="s">
        <v>967</v>
      </c>
      <c r="E304" s="113" t="s">
        <v>968</v>
      </c>
      <c r="F304" s="113" t="s">
        <v>969</v>
      </c>
      <c r="G304" s="113" t="s">
        <v>970</v>
      </c>
      <c r="H304" s="113" t="s">
        <v>971</v>
      </c>
      <c r="I304" s="113" t="s">
        <v>972</v>
      </c>
      <c r="J304" s="113" t="s">
        <v>973</v>
      </c>
      <c r="K304" s="113" t="s">
        <v>974</v>
      </c>
      <c r="L304" s="182"/>
      <c r="M304" s="182"/>
      <c r="N304" s="182"/>
      <c r="O304" s="182"/>
      <c r="P304" s="182"/>
      <c r="Q304" s="182"/>
      <c r="R304" s="182"/>
      <c r="S304" s="727"/>
      <c r="T304" s="159" t="s">
        <v>387</v>
      </c>
      <c r="U304" s="159" t="s">
        <v>388</v>
      </c>
      <c r="V304" s="159" t="s">
        <v>934</v>
      </c>
      <c r="W304" s="160" t="s">
        <v>935</v>
      </c>
      <c r="X304" s="161" t="s">
        <v>936</v>
      </c>
      <c r="Y304" s="162" t="s">
        <v>937</v>
      </c>
      <c r="Z304" s="161" t="s">
        <v>938</v>
      </c>
      <c r="AA304" s="161" t="s">
        <v>939</v>
      </c>
      <c r="AB304" s="162" t="s">
        <v>940</v>
      </c>
      <c r="AC304" s="161" t="s">
        <v>941</v>
      </c>
      <c r="AD304" s="161" t="s">
        <v>942</v>
      </c>
      <c r="AE304" s="162" t="s">
        <v>943</v>
      </c>
      <c r="AF304" s="161" t="s">
        <v>944</v>
      </c>
      <c r="AG304" s="67"/>
    </row>
    <row r="305" spans="1:33">
      <c r="A305" s="134"/>
      <c r="B305" s="153">
        <v>1</v>
      </c>
      <c r="C305" s="121" t="s">
        <v>978</v>
      </c>
      <c r="D305" s="121" t="s">
        <v>1097</v>
      </c>
      <c r="E305" s="209">
        <v>0.5</v>
      </c>
      <c r="F305" s="164">
        <v>15</v>
      </c>
      <c r="G305" s="164">
        <f>'Assumptions HR_AUN'!$F$8</f>
        <v>80.053187003968247</v>
      </c>
      <c r="H305" s="164">
        <f t="shared" ref="H305:H306" si="294">E305*F305*G305</f>
        <v>600.39890252976181</v>
      </c>
      <c r="I305" s="164">
        <f t="shared" ref="I305:I310" si="295">H305*$I$303</f>
        <v>0</v>
      </c>
      <c r="J305" s="164">
        <f t="shared" ref="J305:J310" si="296">H305*$J$303</f>
        <v>24015.956101190473</v>
      </c>
      <c r="K305" s="164">
        <f t="shared" ref="K305:K310" si="297">H305*$K$303</f>
        <v>240159.56101190473</v>
      </c>
      <c r="L305" s="111"/>
      <c r="M305" s="111"/>
      <c r="N305" s="111"/>
      <c r="O305" s="111"/>
      <c r="P305" s="111"/>
      <c r="Q305" s="111"/>
      <c r="R305" s="111"/>
      <c r="S305" s="712"/>
      <c r="T305" s="169" t="s">
        <v>946</v>
      </c>
      <c r="U305" s="169" t="s">
        <v>946</v>
      </c>
      <c r="V305" s="121" t="s">
        <v>977</v>
      </c>
      <c r="W305" s="121" t="s">
        <v>961</v>
      </c>
      <c r="X305" s="170">
        <f>$G305*$D$35*$D$36</f>
        <v>40346.806249999994</v>
      </c>
      <c r="Y305" s="200">
        <f t="shared" ref="Y305:Y309" si="298">I305/X305</f>
        <v>0</v>
      </c>
      <c r="Z305" s="167">
        <f t="shared" ref="Z305:Z310" si="299">X305*Y305</f>
        <v>0</v>
      </c>
      <c r="AA305" s="164">
        <f>$G305*$D$35*$D$36</f>
        <v>40346.806249999994</v>
      </c>
      <c r="AB305" s="200">
        <f t="shared" ref="AB305:AB310" si="300">J305/AA305</f>
        <v>0.59523809523809523</v>
      </c>
      <c r="AC305" s="167">
        <f t="shared" ref="AC305:AC310" si="301">AA305*AB305</f>
        <v>24015.956101190473</v>
      </c>
      <c r="AD305" s="164">
        <f>$G305*$D$35*$D$36</f>
        <v>40346.806249999994</v>
      </c>
      <c r="AE305" s="200">
        <f t="shared" ref="AE305:AE310" si="302">K305/AD305</f>
        <v>5.9523809523809526</v>
      </c>
      <c r="AF305" s="167">
        <f t="shared" ref="AF305:AF310" si="303">AD305*AE305</f>
        <v>240159.56101190473</v>
      </c>
      <c r="AG305" s="67"/>
    </row>
    <row r="306" spans="1:33">
      <c r="A306" s="134"/>
      <c r="B306" s="153">
        <v>2</v>
      </c>
      <c r="C306" s="121" t="s">
        <v>978</v>
      </c>
      <c r="D306" s="121" t="s">
        <v>1098</v>
      </c>
      <c r="E306" s="209">
        <v>0.5</v>
      </c>
      <c r="F306" s="164">
        <v>3</v>
      </c>
      <c r="G306" s="164">
        <f>'Assumptions HR_AUN'!$F$4</f>
        <v>175.0219029103159</v>
      </c>
      <c r="H306" s="164">
        <f t="shared" si="294"/>
        <v>262.53285436547384</v>
      </c>
      <c r="I306" s="164">
        <f t="shared" si="295"/>
        <v>0</v>
      </c>
      <c r="J306" s="164">
        <f t="shared" si="296"/>
        <v>10501.314174618954</v>
      </c>
      <c r="K306" s="164">
        <f t="shared" si="297"/>
        <v>105013.14174618953</v>
      </c>
      <c r="L306" s="111"/>
      <c r="M306" s="111"/>
      <c r="N306" s="111"/>
      <c r="O306" s="111"/>
      <c r="P306" s="111"/>
      <c r="Q306" s="111"/>
      <c r="R306" s="111"/>
      <c r="S306" s="712"/>
      <c r="T306" s="169" t="s">
        <v>946</v>
      </c>
      <c r="U306" s="169" t="s">
        <v>946</v>
      </c>
      <c r="V306" s="121" t="s">
        <v>848</v>
      </c>
      <c r="W306" s="164" t="s">
        <v>947</v>
      </c>
      <c r="X306" s="170">
        <f>$G306*$D$35*$D$36/20</f>
        <v>4410.5519533399611</v>
      </c>
      <c r="Y306" s="200">
        <f t="shared" si="298"/>
        <v>0</v>
      </c>
      <c r="Z306" s="167">
        <f t="shared" si="299"/>
        <v>0</v>
      </c>
      <c r="AA306" s="164">
        <f>$G306*$D$35*$D$36/20</f>
        <v>4410.5519533399611</v>
      </c>
      <c r="AB306" s="200">
        <f t="shared" si="300"/>
        <v>2.3809523809523809</v>
      </c>
      <c r="AC306" s="167">
        <f t="shared" si="301"/>
        <v>10501.314174618954</v>
      </c>
      <c r="AD306" s="164">
        <f>$G306*$D$35*$D$36/20</f>
        <v>4410.5519533399611</v>
      </c>
      <c r="AE306" s="200">
        <f t="shared" si="302"/>
        <v>23.809523809523807</v>
      </c>
      <c r="AF306" s="167">
        <f t="shared" si="303"/>
        <v>105013.14174618953</v>
      </c>
      <c r="AG306" s="67"/>
    </row>
    <row r="307" spans="1:33">
      <c r="A307" s="134"/>
      <c r="B307" s="153">
        <v>3</v>
      </c>
      <c r="C307" s="121" t="s">
        <v>985</v>
      </c>
      <c r="D307" s="121" t="s">
        <v>1099</v>
      </c>
      <c r="E307" s="209"/>
      <c r="F307" s="164">
        <v>2</v>
      </c>
      <c r="G307" s="164">
        <f>$D$32</f>
        <v>60</v>
      </c>
      <c r="H307" s="164">
        <f t="shared" ref="H307:H308" si="304">F307*G307</f>
        <v>120</v>
      </c>
      <c r="I307" s="164">
        <f t="shared" si="295"/>
        <v>0</v>
      </c>
      <c r="J307" s="164">
        <f t="shared" si="296"/>
        <v>4800</v>
      </c>
      <c r="K307" s="164">
        <f t="shared" si="297"/>
        <v>48000</v>
      </c>
      <c r="L307" s="111"/>
      <c r="M307" s="111"/>
      <c r="N307" s="111"/>
      <c r="O307" s="111"/>
      <c r="P307" s="111"/>
      <c r="Q307" s="111"/>
      <c r="R307" s="111"/>
      <c r="S307" s="712"/>
      <c r="T307" s="169" t="s">
        <v>946</v>
      </c>
      <c r="U307" s="169" t="s">
        <v>946</v>
      </c>
      <c r="V307" s="121" t="s">
        <v>957</v>
      </c>
      <c r="W307" s="121" t="s">
        <v>789</v>
      </c>
      <c r="X307" s="170">
        <f t="shared" ref="X307:X308" si="305">G307</f>
        <v>60</v>
      </c>
      <c r="Y307" s="200">
        <f t="shared" si="298"/>
        <v>0</v>
      </c>
      <c r="Z307" s="167">
        <f t="shared" si="299"/>
        <v>0</v>
      </c>
      <c r="AA307" s="164">
        <f>$G$307</f>
        <v>60</v>
      </c>
      <c r="AB307" s="200">
        <f t="shared" si="300"/>
        <v>80</v>
      </c>
      <c r="AC307" s="167">
        <f t="shared" si="301"/>
        <v>4800</v>
      </c>
      <c r="AD307" s="164">
        <f>$G$307</f>
        <v>60</v>
      </c>
      <c r="AE307" s="200">
        <f t="shared" si="302"/>
        <v>800</v>
      </c>
      <c r="AF307" s="167">
        <f t="shared" si="303"/>
        <v>48000</v>
      </c>
      <c r="AG307" s="67"/>
    </row>
    <row r="308" spans="1:33">
      <c r="A308" s="134"/>
      <c r="B308" s="153">
        <v>4</v>
      </c>
      <c r="C308" s="121" t="s">
        <v>987</v>
      </c>
      <c r="D308" s="121" t="s">
        <v>1051</v>
      </c>
      <c r="E308" s="209"/>
      <c r="F308" s="164">
        <v>12</v>
      </c>
      <c r="G308" s="164">
        <f>$D$20</f>
        <v>156</v>
      </c>
      <c r="H308" s="164">
        <f t="shared" si="304"/>
        <v>1872</v>
      </c>
      <c r="I308" s="164">
        <f t="shared" si="295"/>
        <v>0</v>
      </c>
      <c r="J308" s="164">
        <f t="shared" si="296"/>
        <v>74880</v>
      </c>
      <c r="K308" s="164">
        <f t="shared" si="297"/>
        <v>748800</v>
      </c>
      <c r="L308" s="111"/>
      <c r="M308" s="111"/>
      <c r="N308" s="111"/>
      <c r="O308" s="111"/>
      <c r="P308" s="111"/>
      <c r="Q308" s="111"/>
      <c r="R308" s="111"/>
      <c r="S308" s="712"/>
      <c r="T308" s="169" t="s">
        <v>946</v>
      </c>
      <c r="U308" s="169" t="s">
        <v>946</v>
      </c>
      <c r="V308" s="121" t="s">
        <v>989</v>
      </c>
      <c r="W308" s="121" t="s">
        <v>789</v>
      </c>
      <c r="X308" s="170">
        <f t="shared" si="305"/>
        <v>156</v>
      </c>
      <c r="Y308" s="200">
        <f t="shared" si="298"/>
        <v>0</v>
      </c>
      <c r="Z308" s="167">
        <f t="shared" si="299"/>
        <v>0</v>
      </c>
      <c r="AA308" s="164">
        <f>$G$308</f>
        <v>156</v>
      </c>
      <c r="AB308" s="200">
        <f t="shared" si="300"/>
        <v>480</v>
      </c>
      <c r="AC308" s="167">
        <f t="shared" si="301"/>
        <v>74880</v>
      </c>
      <c r="AD308" s="164">
        <f>$G$308</f>
        <v>156</v>
      </c>
      <c r="AE308" s="200">
        <f t="shared" si="302"/>
        <v>4800</v>
      </c>
      <c r="AF308" s="167">
        <f t="shared" si="303"/>
        <v>748800</v>
      </c>
      <c r="AG308" s="67"/>
    </row>
    <row r="309" spans="1:33">
      <c r="A309" s="134"/>
      <c r="B309" s="153">
        <v>5</v>
      </c>
      <c r="C309" s="121" t="s">
        <v>1001</v>
      </c>
      <c r="D309" s="121"/>
      <c r="E309" s="209"/>
      <c r="F309" s="121"/>
      <c r="G309" s="185">
        <f>$C$13</f>
        <v>0.1</v>
      </c>
      <c r="H309" s="164">
        <f>SUM(H305:H308)*G309</f>
        <v>285.49317568952358</v>
      </c>
      <c r="I309" s="164">
        <f t="shared" si="295"/>
        <v>0</v>
      </c>
      <c r="J309" s="164">
        <f t="shared" si="296"/>
        <v>11419.727027580942</v>
      </c>
      <c r="K309" s="164">
        <f t="shared" si="297"/>
        <v>114197.27027580944</v>
      </c>
      <c r="L309" s="111"/>
      <c r="M309" s="111"/>
      <c r="N309" s="111"/>
      <c r="O309" s="111"/>
      <c r="P309" s="111"/>
      <c r="Q309" s="111"/>
      <c r="R309" s="111"/>
      <c r="S309" s="712"/>
      <c r="T309" s="169" t="s">
        <v>946</v>
      </c>
      <c r="U309" s="169" t="s">
        <v>946</v>
      </c>
      <c r="V309" s="121" t="s">
        <v>875</v>
      </c>
      <c r="W309" s="121" t="s">
        <v>961</v>
      </c>
      <c r="X309" s="170">
        <f>'Assumptions HR_AUN'!$D$4*3</f>
        <v>88211.039066799218</v>
      </c>
      <c r="Y309" s="200">
        <f t="shared" si="298"/>
        <v>0</v>
      </c>
      <c r="Z309" s="167">
        <f t="shared" si="299"/>
        <v>0</v>
      </c>
      <c r="AA309" s="164">
        <f>'Assumptions HR_AUN'!$D$4*3</f>
        <v>88211.039066799218</v>
      </c>
      <c r="AB309" s="200">
        <f t="shared" si="300"/>
        <v>0.12945916008236988</v>
      </c>
      <c r="AC309" s="167">
        <f t="shared" si="301"/>
        <v>11419.727027580942</v>
      </c>
      <c r="AD309" s="164">
        <f>'Assumptions HR_AUN'!$D$4*3</f>
        <v>88211.039066799218</v>
      </c>
      <c r="AE309" s="200">
        <f t="shared" si="302"/>
        <v>1.2945916008236988</v>
      </c>
      <c r="AF309" s="167">
        <f t="shared" si="303"/>
        <v>114197.27027580944</v>
      </c>
      <c r="AG309" s="67"/>
    </row>
    <row r="310" spans="1:33">
      <c r="A310" s="134"/>
      <c r="B310" s="153">
        <v>6</v>
      </c>
      <c r="C310" s="121" t="s">
        <v>962</v>
      </c>
      <c r="D310" s="121"/>
      <c r="E310" s="209"/>
      <c r="F310" s="121"/>
      <c r="G310" s="185">
        <f>$C$14</f>
        <v>0.15</v>
      </c>
      <c r="H310" s="164">
        <f>SUM(H305:H308)*G310</f>
        <v>428.23976353428532</v>
      </c>
      <c r="I310" s="164">
        <f t="shared" si="295"/>
        <v>0</v>
      </c>
      <c r="J310" s="164">
        <f t="shared" si="296"/>
        <v>17129.590541371414</v>
      </c>
      <c r="K310" s="164">
        <f t="shared" si="297"/>
        <v>171295.90541371412</v>
      </c>
      <c r="L310" s="111"/>
      <c r="M310" s="111"/>
      <c r="N310" s="111"/>
      <c r="O310" s="111"/>
      <c r="P310" s="111"/>
      <c r="Q310" s="111"/>
      <c r="R310" s="111"/>
      <c r="S310" s="712"/>
      <c r="T310" s="169" t="s">
        <v>946</v>
      </c>
      <c r="U310" s="169" t="s">
        <v>946</v>
      </c>
      <c r="V310" s="121" t="s">
        <v>881</v>
      </c>
      <c r="W310" s="121" t="s">
        <v>964</v>
      </c>
      <c r="X310" s="170">
        <f>I310</f>
        <v>0</v>
      </c>
      <c r="Y310" s="200">
        <v>0</v>
      </c>
      <c r="Z310" s="167">
        <f t="shared" si="299"/>
        <v>0</v>
      </c>
      <c r="AA310" s="164">
        <f>J310/4</f>
        <v>4282.3976353428534</v>
      </c>
      <c r="AB310" s="200">
        <f t="shared" si="300"/>
        <v>4</v>
      </c>
      <c r="AC310" s="167">
        <f t="shared" si="301"/>
        <v>17129.590541371414</v>
      </c>
      <c r="AD310" s="164">
        <f>K310/4</f>
        <v>42823.97635342853</v>
      </c>
      <c r="AE310" s="200">
        <f t="shared" si="302"/>
        <v>4</v>
      </c>
      <c r="AF310" s="167">
        <f t="shared" si="303"/>
        <v>171295.90541371412</v>
      </c>
      <c r="AG310" s="67"/>
    </row>
    <row r="311" spans="1:33">
      <c r="A311" s="134"/>
      <c r="B311" s="212" t="s">
        <v>770</v>
      </c>
      <c r="C311" s="212"/>
      <c r="D311" s="212"/>
      <c r="E311" s="212"/>
      <c r="F311" s="212"/>
      <c r="G311" s="178"/>
      <c r="H311" s="178">
        <f t="shared" ref="H311:K311" si="306">SUM(H305:H310)</f>
        <v>3568.6646961190445</v>
      </c>
      <c r="I311" s="178">
        <f t="shared" si="306"/>
        <v>0</v>
      </c>
      <c r="J311" s="178">
        <f t="shared" si="306"/>
        <v>142746.58784476179</v>
      </c>
      <c r="K311" s="178">
        <f t="shared" si="306"/>
        <v>1427465.8784476179</v>
      </c>
      <c r="L311" s="111"/>
      <c r="M311" s="111"/>
      <c r="N311" s="111"/>
      <c r="O311" s="111"/>
      <c r="P311" s="111"/>
      <c r="Q311" s="111"/>
      <c r="R311" s="111"/>
      <c r="S311" s="712"/>
      <c r="T311" s="111"/>
      <c r="U311" s="111"/>
      <c r="V311" s="111"/>
      <c r="W311" s="111"/>
      <c r="X311" s="132"/>
      <c r="Y311" s="133"/>
      <c r="Z311" s="132"/>
      <c r="AA311" s="132"/>
      <c r="AB311" s="133"/>
      <c r="AC311" s="132"/>
      <c r="AD311" s="132"/>
      <c r="AE311" s="133"/>
      <c r="AF311" s="132"/>
      <c r="AG311" s="67"/>
    </row>
    <row r="312" spans="1:33">
      <c r="A312" s="9"/>
      <c r="B312" s="111"/>
      <c r="C312" s="111"/>
      <c r="D312" s="111"/>
      <c r="E312" s="111"/>
      <c r="F312" s="111"/>
      <c r="G312" s="111"/>
      <c r="H312" s="151"/>
      <c r="I312" s="111"/>
      <c r="J312" s="111"/>
      <c r="K312" s="111"/>
      <c r="L312" s="111"/>
      <c r="M312" s="111"/>
      <c r="N312" s="111"/>
      <c r="O312" s="111"/>
      <c r="P312" s="111"/>
      <c r="Q312" s="111"/>
      <c r="R312" s="111"/>
      <c r="S312" s="712"/>
      <c r="T312" s="111"/>
      <c r="U312" s="111"/>
      <c r="V312" s="111"/>
      <c r="W312" s="111"/>
      <c r="X312" s="111"/>
      <c r="Y312" s="111"/>
      <c r="Z312" s="111"/>
      <c r="AA312" s="111"/>
      <c r="AB312" s="111"/>
      <c r="AC312" s="111"/>
      <c r="AD312" s="111"/>
      <c r="AE312" s="111"/>
      <c r="AF312" s="111"/>
      <c r="AG312" s="67"/>
    </row>
    <row r="313" spans="1:33">
      <c r="A313" s="9"/>
      <c r="B313" s="111"/>
      <c r="C313" s="111"/>
      <c r="D313" s="111"/>
      <c r="E313" s="111"/>
      <c r="F313" s="111"/>
      <c r="G313" s="111"/>
      <c r="H313" s="151"/>
      <c r="I313" s="111"/>
      <c r="J313" s="111"/>
      <c r="K313" s="111"/>
      <c r="L313" s="111"/>
      <c r="M313" s="111"/>
      <c r="N313" s="111"/>
      <c r="O313" s="111"/>
      <c r="P313" s="111"/>
      <c r="Q313" s="111"/>
      <c r="R313" s="111"/>
      <c r="S313" s="712"/>
      <c r="T313" s="111"/>
      <c r="U313" s="111"/>
      <c r="V313" s="111"/>
      <c r="W313" s="111"/>
      <c r="X313" s="111"/>
      <c r="Y313" s="111"/>
      <c r="Z313" s="111"/>
      <c r="AA313" s="111"/>
      <c r="AB313" s="111"/>
      <c r="AC313" s="111"/>
      <c r="AD313" s="111"/>
      <c r="AE313" s="111"/>
      <c r="AF313" s="111"/>
      <c r="AG313" s="67"/>
    </row>
    <row r="314" spans="1:33">
      <c r="A314" s="9"/>
      <c r="B314" s="111"/>
      <c r="C314" s="111"/>
      <c r="D314" s="111"/>
      <c r="E314" s="111"/>
      <c r="F314" s="111"/>
      <c r="G314" s="111"/>
      <c r="H314" s="151"/>
      <c r="I314" s="111"/>
      <c r="J314" s="111"/>
      <c r="K314" s="111"/>
      <c r="L314" s="111"/>
      <c r="M314" s="111"/>
      <c r="N314" s="111"/>
      <c r="O314" s="111"/>
      <c r="P314" s="111"/>
      <c r="Q314" s="111"/>
      <c r="R314" s="111"/>
      <c r="S314" s="712"/>
      <c r="T314" s="111"/>
      <c r="U314" s="111"/>
      <c r="V314" s="111"/>
      <c r="W314" s="111"/>
      <c r="X314" s="111"/>
      <c r="Y314" s="111"/>
      <c r="Z314" s="111"/>
      <c r="AA314" s="111"/>
      <c r="AB314" s="111"/>
      <c r="AC314" s="111"/>
      <c r="AD314" s="111"/>
      <c r="AE314" s="111"/>
      <c r="AF314" s="111"/>
      <c r="AG314" s="67"/>
    </row>
    <row r="315" spans="1:33">
      <c r="A315" s="725">
        <v>16</v>
      </c>
      <c r="B315" s="726" t="e" vm="1">
        <f>'[2]AUN Budget'!E75</f>
        <v>#VALUE!</v>
      </c>
      <c r="C315" s="731"/>
      <c r="D315" s="731"/>
      <c r="E315" s="731" t="s">
        <v>1100</v>
      </c>
      <c r="F315" s="731"/>
      <c r="G315" s="731"/>
      <c r="H315" s="731"/>
      <c r="I315" s="111"/>
      <c r="J315" s="111"/>
      <c r="K315" s="111"/>
      <c r="L315" s="111"/>
      <c r="M315" s="111"/>
      <c r="N315" s="111"/>
      <c r="O315" s="111"/>
      <c r="P315" s="111"/>
      <c r="Q315" s="111"/>
      <c r="R315" s="111"/>
      <c r="S315" s="712"/>
      <c r="T315" s="111"/>
      <c r="U315" s="111"/>
      <c r="V315" s="111"/>
      <c r="W315" s="111"/>
      <c r="X315" s="132"/>
      <c r="Y315" s="133"/>
      <c r="Z315" s="132"/>
      <c r="AA315" s="132"/>
      <c r="AB315" s="133"/>
      <c r="AC315" s="132"/>
      <c r="AD315" s="132"/>
      <c r="AE315" s="133"/>
      <c r="AF315" s="132"/>
      <c r="AG315" s="67"/>
    </row>
    <row r="316" spans="1:33">
      <c r="A316" s="134" t="s">
        <v>1101</v>
      </c>
      <c r="B316" s="113" t="s">
        <v>755</v>
      </c>
      <c r="C316" s="143" t="s">
        <v>1102</v>
      </c>
      <c r="D316" s="143" t="s">
        <v>1103</v>
      </c>
      <c r="E316" s="143" t="s">
        <v>1104</v>
      </c>
      <c r="F316" s="143" t="s">
        <v>969</v>
      </c>
      <c r="G316" s="143"/>
      <c r="H316" s="113" t="s">
        <v>1105</v>
      </c>
      <c r="I316" s="111"/>
      <c r="J316" s="111"/>
      <c r="K316" s="111"/>
      <c r="L316" s="111"/>
      <c r="M316" s="111"/>
      <c r="N316" s="111"/>
      <c r="O316" s="111"/>
      <c r="P316" s="111"/>
      <c r="Q316" s="111"/>
      <c r="R316" s="111"/>
      <c r="S316" s="712"/>
      <c r="T316" s="111"/>
      <c r="U316" s="111"/>
      <c r="V316" s="111"/>
      <c r="W316" s="111"/>
      <c r="X316" s="132"/>
      <c r="Y316" s="133"/>
      <c r="Z316" s="132"/>
      <c r="AA316" s="132"/>
      <c r="AB316" s="133"/>
      <c r="AC316" s="132"/>
      <c r="AD316" s="132"/>
      <c r="AE316" s="133"/>
      <c r="AF316" s="132"/>
      <c r="AG316" s="67"/>
    </row>
    <row r="317" spans="1:33">
      <c r="A317" s="134"/>
      <c r="B317" s="153">
        <v>1</v>
      </c>
      <c r="C317" s="202" t="s">
        <v>1106</v>
      </c>
      <c r="D317" s="144">
        <v>27000</v>
      </c>
      <c r="E317" s="221">
        <v>2</v>
      </c>
      <c r="F317" s="221">
        <v>1</v>
      </c>
      <c r="G317" s="153"/>
      <c r="H317" s="222">
        <f t="shared" ref="H317:H319" si="307">D317*E317*F317</f>
        <v>54000</v>
      </c>
      <c r="I317" s="111"/>
      <c r="J317" s="111"/>
      <c r="K317" s="111"/>
      <c r="L317" s="111"/>
      <c r="M317" s="111"/>
      <c r="N317" s="111"/>
      <c r="O317" s="111"/>
      <c r="P317" s="111"/>
      <c r="Q317" s="111"/>
      <c r="R317" s="111"/>
      <c r="S317" s="712"/>
      <c r="T317" s="111"/>
      <c r="U317" s="111"/>
      <c r="V317" s="111"/>
      <c r="W317" s="111"/>
      <c r="X317" s="132"/>
      <c r="Y317" s="133"/>
      <c r="Z317" s="132"/>
      <c r="AA317" s="132"/>
      <c r="AB317" s="133"/>
      <c r="AC317" s="132"/>
      <c r="AD317" s="132"/>
      <c r="AE317" s="133"/>
      <c r="AF317" s="132"/>
      <c r="AG317" s="67"/>
    </row>
    <row r="318" spans="1:33">
      <c r="A318" s="134"/>
      <c r="B318" s="153">
        <v>2</v>
      </c>
      <c r="C318" s="202" t="s">
        <v>1107</v>
      </c>
      <c r="D318" s="144">
        <v>38000</v>
      </c>
      <c r="E318" s="221">
        <v>1</v>
      </c>
      <c r="F318" s="221">
        <v>6</v>
      </c>
      <c r="G318" s="153"/>
      <c r="H318" s="222">
        <f t="shared" si="307"/>
        <v>228000</v>
      </c>
      <c r="I318" s="111"/>
      <c r="J318" s="111"/>
      <c r="K318" s="111"/>
      <c r="L318" s="111"/>
      <c r="M318" s="111"/>
      <c r="N318" s="111"/>
      <c r="O318" s="111"/>
      <c r="P318" s="111"/>
      <c r="Q318" s="111"/>
      <c r="R318" s="111"/>
      <c r="S318" s="712"/>
      <c r="T318" s="111"/>
      <c r="U318" s="111"/>
      <c r="V318" s="111"/>
      <c r="W318" s="111"/>
      <c r="X318" s="132"/>
      <c r="Y318" s="133"/>
      <c r="Z318" s="132"/>
      <c r="AA318" s="132"/>
      <c r="AB318" s="133"/>
      <c r="AC318" s="132"/>
      <c r="AD318" s="132"/>
      <c r="AE318" s="133"/>
      <c r="AF318" s="132"/>
      <c r="AG318" s="67"/>
    </row>
    <row r="319" spans="1:33">
      <c r="A319" s="134"/>
      <c r="B319" s="153">
        <v>3</v>
      </c>
      <c r="C319" s="202" t="s">
        <v>1108</v>
      </c>
      <c r="D319" s="144">
        <v>5400</v>
      </c>
      <c r="E319" s="221">
        <v>10</v>
      </c>
      <c r="F319" s="221">
        <v>3</v>
      </c>
      <c r="G319" s="153"/>
      <c r="H319" s="222">
        <f t="shared" si="307"/>
        <v>162000</v>
      </c>
      <c r="I319" s="111"/>
      <c r="J319" s="111"/>
      <c r="K319" s="111"/>
      <c r="L319" s="111"/>
      <c r="M319" s="111"/>
      <c r="N319" s="111"/>
      <c r="O319" s="111"/>
      <c r="P319" s="111"/>
      <c r="Q319" s="111"/>
      <c r="R319" s="111"/>
      <c r="S319" s="712"/>
      <c r="T319" s="111"/>
      <c r="U319" s="111"/>
      <c r="V319" s="111"/>
      <c r="W319" s="111"/>
      <c r="X319" s="132"/>
      <c r="Y319" s="133"/>
      <c r="Z319" s="132"/>
      <c r="AA319" s="132"/>
      <c r="AB319" s="133"/>
      <c r="AC319" s="132"/>
      <c r="AD319" s="132"/>
      <c r="AE319" s="133"/>
      <c r="AF319" s="132"/>
      <c r="AG319" s="67"/>
    </row>
    <row r="320" spans="1:33">
      <c r="A320" s="134"/>
      <c r="B320" s="153">
        <v>4</v>
      </c>
      <c r="C320" s="202" t="s">
        <v>1109</v>
      </c>
      <c r="D320" s="144">
        <v>4050</v>
      </c>
      <c r="E320" s="221">
        <v>6</v>
      </c>
      <c r="F320" s="221">
        <v>3</v>
      </c>
      <c r="G320" s="153">
        <v>0.5</v>
      </c>
      <c r="H320" s="222">
        <f t="shared" ref="H320:H321" si="308">D320*E320*F320*G320</f>
        <v>36450</v>
      </c>
      <c r="I320" s="111"/>
      <c r="J320" s="111"/>
      <c r="K320" s="111"/>
      <c r="L320" s="111"/>
      <c r="M320" s="111"/>
      <c r="N320" s="111"/>
      <c r="O320" s="111"/>
      <c r="P320" s="111"/>
      <c r="Q320" s="111"/>
      <c r="R320" s="111"/>
      <c r="S320" s="712"/>
      <c r="T320" s="111"/>
      <c r="U320" s="111"/>
      <c r="V320" s="111"/>
      <c r="W320" s="111"/>
      <c r="X320" s="132"/>
      <c r="Y320" s="133"/>
      <c r="Z320" s="132"/>
      <c r="AA320" s="132"/>
      <c r="AB320" s="133"/>
      <c r="AC320" s="132"/>
      <c r="AD320" s="132"/>
      <c r="AE320" s="133"/>
      <c r="AF320" s="132"/>
      <c r="AG320" s="67"/>
    </row>
    <row r="321" spans="1:33">
      <c r="A321" s="134"/>
      <c r="B321" s="153">
        <v>5</v>
      </c>
      <c r="C321" s="202" t="s">
        <v>1110</v>
      </c>
      <c r="D321" s="144">
        <v>13500</v>
      </c>
      <c r="E321" s="221">
        <v>2</v>
      </c>
      <c r="F321" s="221">
        <v>12</v>
      </c>
      <c r="G321" s="153">
        <v>0.5</v>
      </c>
      <c r="H321" s="222">
        <f t="shared" si="308"/>
        <v>162000</v>
      </c>
      <c r="I321" s="111"/>
      <c r="J321" s="111"/>
      <c r="K321" s="111"/>
      <c r="L321" s="111"/>
      <c r="M321" s="111"/>
      <c r="N321" s="111"/>
      <c r="O321" s="111"/>
      <c r="P321" s="111"/>
      <c r="Q321" s="111"/>
      <c r="R321" s="111"/>
      <c r="S321" s="712"/>
      <c r="T321" s="111"/>
      <c r="U321" s="111"/>
      <c r="V321" s="111"/>
      <c r="W321" s="111"/>
      <c r="X321" s="132"/>
      <c r="Y321" s="133"/>
      <c r="Z321" s="132"/>
      <c r="AA321" s="132"/>
      <c r="AB321" s="133"/>
      <c r="AC321" s="132"/>
      <c r="AD321" s="132"/>
      <c r="AE321" s="133"/>
      <c r="AF321" s="132"/>
      <c r="AG321" s="67"/>
    </row>
    <row r="322" spans="1:33">
      <c r="A322" s="134"/>
      <c r="B322" s="153">
        <v>6</v>
      </c>
      <c r="C322" s="202" t="s">
        <v>1111</v>
      </c>
      <c r="D322" s="144">
        <v>54000</v>
      </c>
      <c r="E322" s="221">
        <v>1</v>
      </c>
      <c r="F322" s="221">
        <v>1</v>
      </c>
      <c r="G322" s="153"/>
      <c r="H322" s="222">
        <f t="shared" ref="H322:H324" si="309">D322*E322*F322</f>
        <v>54000</v>
      </c>
      <c r="I322" s="111"/>
      <c r="J322" s="111"/>
      <c r="K322" s="111"/>
      <c r="L322" s="111"/>
      <c r="M322" s="111"/>
      <c r="N322" s="111"/>
      <c r="O322" s="111"/>
      <c r="P322" s="111"/>
      <c r="Q322" s="111"/>
      <c r="R322" s="111"/>
      <c r="S322" s="712"/>
      <c r="T322" s="111"/>
      <c r="U322" s="111"/>
      <c r="V322" s="111"/>
      <c r="W322" s="111"/>
      <c r="X322" s="132"/>
      <c r="Y322" s="133"/>
      <c r="Z322" s="132"/>
      <c r="AA322" s="132"/>
      <c r="AB322" s="133"/>
      <c r="AC322" s="132"/>
      <c r="AD322" s="132"/>
      <c r="AE322" s="133"/>
      <c r="AF322" s="132"/>
      <c r="AG322" s="67"/>
    </row>
    <row r="323" spans="1:33">
      <c r="A323" s="134"/>
      <c r="B323" s="153">
        <v>7</v>
      </c>
      <c r="C323" s="202" t="s">
        <v>1112</v>
      </c>
      <c r="D323" s="144">
        <v>13500</v>
      </c>
      <c r="E323" s="221">
        <v>1</v>
      </c>
      <c r="F323" s="221">
        <v>1</v>
      </c>
      <c r="G323" s="153"/>
      <c r="H323" s="222">
        <f t="shared" si="309"/>
        <v>13500</v>
      </c>
      <c r="I323" s="111"/>
      <c r="J323" s="111"/>
      <c r="K323" s="111"/>
      <c r="L323" s="111"/>
      <c r="M323" s="111"/>
      <c r="N323" s="111"/>
      <c r="O323" s="111"/>
      <c r="P323" s="111"/>
      <c r="Q323" s="111"/>
      <c r="R323" s="111"/>
      <c r="S323" s="712"/>
      <c r="T323" s="111"/>
      <c r="U323" s="111"/>
      <c r="V323" s="111"/>
      <c r="W323" s="111"/>
      <c r="X323" s="132"/>
      <c r="Y323" s="133"/>
      <c r="Z323" s="132"/>
      <c r="AA323" s="132"/>
      <c r="AB323" s="133"/>
      <c r="AC323" s="132"/>
      <c r="AD323" s="132"/>
      <c r="AE323" s="133"/>
      <c r="AF323" s="132"/>
      <c r="AG323" s="67"/>
    </row>
    <row r="324" spans="1:33">
      <c r="A324" s="134"/>
      <c r="B324" s="153">
        <v>8</v>
      </c>
      <c r="C324" s="202" t="s">
        <v>1113</v>
      </c>
      <c r="D324" s="144">
        <v>135</v>
      </c>
      <c r="E324" s="221">
        <v>100</v>
      </c>
      <c r="F324" s="221">
        <v>1</v>
      </c>
      <c r="G324" s="153"/>
      <c r="H324" s="222">
        <f t="shared" si="309"/>
        <v>13500</v>
      </c>
      <c r="I324" s="111"/>
      <c r="J324" s="111"/>
      <c r="K324" s="111"/>
      <c r="L324" s="111"/>
      <c r="M324" s="111"/>
      <c r="N324" s="111"/>
      <c r="O324" s="111"/>
      <c r="P324" s="111"/>
      <c r="Q324" s="111"/>
      <c r="R324" s="111"/>
      <c r="S324" s="712"/>
      <c r="T324" s="111"/>
      <c r="U324" s="111"/>
      <c r="V324" s="111"/>
      <c r="W324" s="111"/>
      <c r="X324" s="132"/>
      <c r="Y324" s="133"/>
      <c r="Z324" s="132"/>
      <c r="AA324" s="132"/>
      <c r="AB324" s="133"/>
      <c r="AC324" s="132"/>
      <c r="AD324" s="132"/>
      <c r="AE324" s="133"/>
      <c r="AF324" s="132"/>
      <c r="AG324" s="67"/>
    </row>
    <row r="325" spans="1:33">
      <c r="A325" s="134"/>
      <c r="B325" s="212"/>
      <c r="C325" s="212" t="s">
        <v>770</v>
      </c>
      <c r="D325" s="212"/>
      <c r="E325" s="212"/>
      <c r="F325" s="212"/>
      <c r="G325" s="178"/>
      <c r="H325" s="178">
        <f>SUM(H317:H324)</f>
        <v>723450</v>
      </c>
      <c r="I325" s="111"/>
      <c r="J325" s="111"/>
      <c r="K325" s="111"/>
      <c r="L325" s="111"/>
      <c r="M325" s="111"/>
      <c r="N325" s="111"/>
      <c r="O325" s="111"/>
      <c r="P325" s="111"/>
      <c r="Q325" s="111"/>
      <c r="R325" s="111"/>
      <c r="S325" s="712"/>
      <c r="T325" s="111"/>
      <c r="U325" s="111"/>
      <c r="V325" s="111"/>
      <c r="W325" s="111"/>
      <c r="X325" s="132"/>
      <c r="Y325" s="133"/>
      <c r="Z325" s="132"/>
      <c r="AA325" s="132"/>
      <c r="AB325" s="133"/>
      <c r="AC325" s="132"/>
      <c r="AD325" s="132"/>
      <c r="AE325" s="133"/>
      <c r="AF325" s="132"/>
      <c r="AG325" s="67"/>
    </row>
    <row r="326" spans="1:33">
      <c r="A326" s="9"/>
      <c r="B326" s="111"/>
      <c r="C326" s="111"/>
      <c r="D326" s="111"/>
      <c r="E326" s="111"/>
      <c r="F326" s="111"/>
      <c r="G326" s="204" t="s">
        <v>791</v>
      </c>
      <c r="H326" s="223">
        <f>SUM(H317:H325)/(E319*F321)/21</f>
        <v>574.16666666666663</v>
      </c>
      <c r="I326" s="111"/>
      <c r="J326" s="111"/>
      <c r="K326" s="111"/>
      <c r="L326" s="111"/>
      <c r="M326" s="111"/>
      <c r="N326" s="111"/>
      <c r="O326" s="111"/>
      <c r="P326" s="111"/>
      <c r="Q326" s="111"/>
      <c r="R326" s="111"/>
      <c r="S326" s="712"/>
      <c r="T326" s="111"/>
      <c r="U326" s="111"/>
      <c r="V326" s="111"/>
      <c r="W326" s="111"/>
      <c r="X326" s="132"/>
      <c r="Y326" s="133"/>
      <c r="Z326" s="132"/>
      <c r="AA326" s="132"/>
      <c r="AB326" s="133"/>
      <c r="AC326" s="132"/>
      <c r="AD326" s="132"/>
      <c r="AE326" s="133"/>
      <c r="AF326" s="132"/>
      <c r="AG326" s="67"/>
    </row>
    <row r="327" spans="1:33">
      <c r="A327" s="9"/>
      <c r="B327" s="111"/>
      <c r="C327" s="111"/>
      <c r="D327" s="111"/>
      <c r="E327" s="111"/>
      <c r="F327" s="111"/>
      <c r="G327" s="206" t="s">
        <v>792</v>
      </c>
      <c r="H327" s="732">
        <f>H325/H326</f>
        <v>1260</v>
      </c>
      <c r="I327" s="111"/>
      <c r="J327" s="111"/>
      <c r="K327" s="111"/>
      <c r="L327" s="111"/>
      <c r="M327" s="111"/>
      <c r="N327" s="111"/>
      <c r="O327" s="111"/>
      <c r="P327" s="111"/>
      <c r="Q327" s="111"/>
      <c r="R327" s="111"/>
      <c r="S327" s="712"/>
      <c r="T327" s="111"/>
      <c r="U327" s="111"/>
      <c r="V327" s="111"/>
      <c r="W327" s="111"/>
      <c r="X327" s="132"/>
      <c r="Y327" s="133"/>
      <c r="Z327" s="132"/>
      <c r="AA327" s="132"/>
      <c r="AB327" s="133"/>
      <c r="AC327" s="132"/>
      <c r="AD327" s="132"/>
      <c r="AE327" s="133"/>
      <c r="AF327" s="132"/>
      <c r="AG327" s="67"/>
    </row>
    <row r="328" spans="1:33">
      <c r="A328" s="9"/>
      <c r="B328" s="111"/>
      <c r="C328" s="111"/>
      <c r="D328" s="111"/>
      <c r="E328" s="111"/>
      <c r="F328" s="111"/>
      <c r="G328" s="111"/>
      <c r="H328" s="151"/>
      <c r="I328" s="111"/>
      <c r="J328" s="111"/>
      <c r="K328" s="111"/>
      <c r="L328" s="111"/>
      <c r="M328" s="111"/>
      <c r="N328" s="111"/>
      <c r="O328" s="111"/>
      <c r="P328" s="111"/>
      <c r="Q328" s="111"/>
      <c r="R328" s="111"/>
      <c r="S328" s="712"/>
      <c r="T328" s="111"/>
      <c r="U328" s="111"/>
      <c r="V328" s="111"/>
      <c r="W328" s="111"/>
      <c r="X328" s="111"/>
      <c r="Y328" s="111"/>
      <c r="Z328" s="111"/>
      <c r="AA328" s="111"/>
      <c r="AB328" s="111"/>
      <c r="AC328" s="111"/>
      <c r="AD328" s="111"/>
      <c r="AE328" s="111"/>
      <c r="AF328" s="111"/>
      <c r="AG328" s="67"/>
    </row>
    <row r="329" spans="1:33">
      <c r="A329" s="9"/>
      <c r="B329" s="111"/>
      <c r="C329" s="111"/>
      <c r="D329" s="111"/>
      <c r="E329" s="111"/>
      <c r="F329" s="111"/>
      <c r="G329" s="111"/>
      <c r="H329" s="111"/>
      <c r="I329" s="180"/>
      <c r="J329" s="180"/>
      <c r="K329" s="180"/>
      <c r="L329" s="111"/>
      <c r="M329" s="111"/>
      <c r="N329" s="111"/>
      <c r="O329" s="111"/>
      <c r="P329" s="111"/>
      <c r="Q329" s="111"/>
      <c r="R329" s="111"/>
      <c r="S329" s="712"/>
      <c r="T329" s="111"/>
      <c r="U329" s="111"/>
      <c r="V329" s="111"/>
      <c r="W329" s="111"/>
      <c r="X329" s="132"/>
      <c r="Y329" s="133"/>
      <c r="Z329" s="132"/>
      <c r="AA329" s="132"/>
      <c r="AB329" s="133"/>
      <c r="AC329" s="132"/>
      <c r="AD329" s="132"/>
      <c r="AE329" s="133"/>
      <c r="AF329" s="132"/>
      <c r="AG329" s="67"/>
    </row>
    <row r="330" spans="1:33">
      <c r="A330" s="9"/>
      <c r="B330" s="111"/>
      <c r="C330" s="111"/>
      <c r="D330" s="111"/>
      <c r="E330" s="111"/>
      <c r="F330" s="111"/>
      <c r="G330" s="111"/>
      <c r="H330" s="111"/>
      <c r="I330" s="67"/>
      <c r="J330" s="67"/>
      <c r="K330" s="67"/>
      <c r="L330" s="111"/>
      <c r="M330" s="111"/>
      <c r="N330" s="111"/>
      <c r="O330" s="111"/>
      <c r="P330" s="111"/>
      <c r="Q330" s="111"/>
      <c r="R330" s="111"/>
      <c r="S330" s="712"/>
      <c r="T330" s="111"/>
      <c r="U330" s="111"/>
      <c r="V330" s="111"/>
      <c r="W330" s="111"/>
      <c r="X330" s="132"/>
      <c r="Y330" s="133"/>
      <c r="Z330" s="132"/>
      <c r="AA330" s="132"/>
      <c r="AB330" s="133"/>
      <c r="AC330" s="132"/>
      <c r="AD330" s="132"/>
      <c r="AE330" s="133"/>
      <c r="AF330" s="132"/>
      <c r="AG330" s="67"/>
    </row>
    <row r="331" spans="1:33">
      <c r="A331" s="725">
        <v>17</v>
      </c>
      <c r="B331" s="726" t="e" vm="1">
        <f>'[2]AUN Budget'!$E$76</f>
        <v>#VALUE!</v>
      </c>
      <c r="C331" s="731"/>
      <c r="D331" s="731"/>
      <c r="E331" s="731"/>
      <c r="F331" s="731"/>
      <c r="G331" s="731"/>
      <c r="H331" s="731"/>
      <c r="I331" s="181">
        <v>2000</v>
      </c>
      <c r="J331" s="216">
        <v>2000</v>
      </c>
      <c r="K331" s="216">
        <v>2000</v>
      </c>
      <c r="L331" s="111"/>
      <c r="M331" s="111"/>
      <c r="N331" s="111"/>
      <c r="O331" s="111"/>
      <c r="P331" s="111"/>
      <c r="Q331" s="111"/>
      <c r="R331" s="111"/>
      <c r="S331" s="712"/>
      <c r="T331" s="111"/>
      <c r="U331" s="111"/>
      <c r="V331" s="111"/>
      <c r="W331" s="111"/>
      <c r="X331" s="132"/>
      <c r="Y331" s="133"/>
      <c r="Z331" s="132"/>
      <c r="AA331" s="132"/>
      <c r="AB331" s="133"/>
      <c r="AC331" s="132"/>
      <c r="AD331" s="132"/>
      <c r="AE331" s="133"/>
      <c r="AF331" s="132"/>
      <c r="AG331" s="67"/>
    </row>
    <row r="332" spans="1:33">
      <c r="A332" s="157" t="s">
        <v>106</v>
      </c>
      <c r="B332" s="113" t="s">
        <v>755</v>
      </c>
      <c r="C332" s="113" t="s">
        <v>966</v>
      </c>
      <c r="D332" s="113" t="s">
        <v>967</v>
      </c>
      <c r="E332" s="113" t="s">
        <v>968</v>
      </c>
      <c r="F332" s="113" t="s">
        <v>969</v>
      </c>
      <c r="G332" s="113" t="s">
        <v>970</v>
      </c>
      <c r="H332" s="113" t="s">
        <v>971</v>
      </c>
      <c r="I332" s="113" t="s">
        <v>972</v>
      </c>
      <c r="J332" s="113" t="s">
        <v>973</v>
      </c>
      <c r="K332" s="113" t="s">
        <v>974</v>
      </c>
      <c r="L332" s="111"/>
      <c r="M332" s="111"/>
      <c r="N332" s="111"/>
      <c r="O332" s="182"/>
      <c r="P332" s="182"/>
      <c r="Q332" s="182"/>
      <c r="R332" s="182"/>
      <c r="S332" s="727"/>
      <c r="T332" s="159" t="s">
        <v>387</v>
      </c>
      <c r="U332" s="159" t="s">
        <v>388</v>
      </c>
      <c r="V332" s="159" t="s">
        <v>934</v>
      </c>
      <c r="W332" s="160" t="s">
        <v>935</v>
      </c>
      <c r="X332" s="161" t="s">
        <v>936</v>
      </c>
      <c r="Y332" s="162" t="s">
        <v>937</v>
      </c>
      <c r="Z332" s="161" t="s">
        <v>938</v>
      </c>
      <c r="AA332" s="161" t="s">
        <v>939</v>
      </c>
      <c r="AB332" s="162" t="s">
        <v>940</v>
      </c>
      <c r="AC332" s="161" t="s">
        <v>941</v>
      </c>
      <c r="AD332" s="161" t="s">
        <v>942</v>
      </c>
      <c r="AE332" s="162" t="s">
        <v>943</v>
      </c>
      <c r="AF332" s="161" t="s">
        <v>944</v>
      </c>
      <c r="AG332" s="67"/>
    </row>
    <row r="333" spans="1:33">
      <c r="A333" s="134"/>
      <c r="B333" s="153">
        <v>1</v>
      </c>
      <c r="C333" s="121" t="s">
        <v>975</v>
      </c>
      <c r="D333" s="121" t="s">
        <v>1114</v>
      </c>
      <c r="E333" s="209">
        <v>1</v>
      </c>
      <c r="F333" s="164">
        <v>1</v>
      </c>
      <c r="G333" s="164">
        <f>'Assumptions HR_AUN'!$F$8</f>
        <v>80.053187003968247</v>
      </c>
      <c r="H333" s="164">
        <f t="shared" ref="H333:H337" si="310">E333*F333*G333</f>
        <v>80.053187003968247</v>
      </c>
      <c r="I333" s="164">
        <f t="shared" ref="I333:K333" si="311">$H333*I$331</f>
        <v>160106.37400793651</v>
      </c>
      <c r="J333" s="164">
        <f t="shared" si="311"/>
        <v>160106.37400793651</v>
      </c>
      <c r="K333" s="164">
        <f t="shared" si="311"/>
        <v>160106.37400793651</v>
      </c>
      <c r="L333" s="111"/>
      <c r="M333" s="111"/>
      <c r="N333" s="111"/>
      <c r="O333" s="111"/>
      <c r="P333" s="111"/>
      <c r="Q333" s="111"/>
      <c r="R333" s="111"/>
      <c r="S333" s="712"/>
      <c r="T333" s="169" t="s">
        <v>946</v>
      </c>
      <c r="U333" s="169" t="s">
        <v>946</v>
      </c>
      <c r="V333" s="121" t="s">
        <v>977</v>
      </c>
      <c r="W333" s="121" t="s">
        <v>961</v>
      </c>
      <c r="X333" s="170">
        <f t="shared" ref="X333:X337" si="312">G333*$D$35*$D$36</f>
        <v>40346.806249999994</v>
      </c>
      <c r="Y333" s="200">
        <f t="shared" ref="Y333:Y339" si="313">I333/X333</f>
        <v>3.9682539682539688</v>
      </c>
      <c r="Z333" s="167">
        <f t="shared" ref="Z333:Z339" si="314">X333*Y333</f>
        <v>160106.37400793651</v>
      </c>
      <c r="AA333" s="164">
        <f t="shared" ref="AA333:AA337" si="315">X333</f>
        <v>40346.806249999994</v>
      </c>
      <c r="AB333" s="200">
        <f t="shared" ref="AB333:AB339" si="316">J333/AA333</f>
        <v>3.9682539682539688</v>
      </c>
      <c r="AC333" s="167">
        <f t="shared" ref="AC333:AC339" si="317">AA333*AB333</f>
        <v>160106.37400793651</v>
      </c>
      <c r="AD333" s="164">
        <f t="shared" ref="AD333:AD337" si="318">AA333</f>
        <v>40346.806249999994</v>
      </c>
      <c r="AE333" s="200">
        <f t="shared" ref="AE333:AE339" si="319">K333/AD333</f>
        <v>3.9682539682539688</v>
      </c>
      <c r="AF333" s="167">
        <f t="shared" ref="AF333:AF339" si="320">AD333*AE333</f>
        <v>160106.37400793651</v>
      </c>
      <c r="AG333" s="67"/>
    </row>
    <row r="334" spans="1:33">
      <c r="A334" s="134"/>
      <c r="B334" s="153">
        <v>2</v>
      </c>
      <c r="C334" s="121" t="s">
        <v>978</v>
      </c>
      <c r="D334" s="121" t="s">
        <v>1115</v>
      </c>
      <c r="E334" s="209">
        <v>1</v>
      </c>
      <c r="F334" s="164">
        <v>1</v>
      </c>
      <c r="G334" s="164">
        <f>'Assumptions HR_AUN'!$F$8</f>
        <v>80.053187003968247</v>
      </c>
      <c r="H334" s="164">
        <f t="shared" si="310"/>
        <v>80.053187003968247</v>
      </c>
      <c r="I334" s="164">
        <f t="shared" ref="I334:K334" si="321">$H334*I$331</f>
        <v>160106.37400793651</v>
      </c>
      <c r="J334" s="164">
        <f t="shared" si="321"/>
        <v>160106.37400793651</v>
      </c>
      <c r="K334" s="164">
        <f t="shared" si="321"/>
        <v>160106.37400793651</v>
      </c>
      <c r="L334" s="111"/>
      <c r="M334" s="111"/>
      <c r="N334" s="111"/>
      <c r="O334" s="111"/>
      <c r="P334" s="111"/>
      <c r="Q334" s="111"/>
      <c r="R334" s="111"/>
      <c r="S334" s="712"/>
      <c r="T334" s="169" t="s">
        <v>946</v>
      </c>
      <c r="U334" s="169" t="s">
        <v>946</v>
      </c>
      <c r="V334" s="121" t="s">
        <v>977</v>
      </c>
      <c r="W334" s="121" t="s">
        <v>961</v>
      </c>
      <c r="X334" s="170">
        <f t="shared" si="312"/>
        <v>40346.806249999994</v>
      </c>
      <c r="Y334" s="200">
        <f t="shared" si="313"/>
        <v>3.9682539682539688</v>
      </c>
      <c r="Z334" s="167">
        <f t="shared" si="314"/>
        <v>160106.37400793651</v>
      </c>
      <c r="AA334" s="164">
        <f t="shared" si="315"/>
        <v>40346.806249999994</v>
      </c>
      <c r="AB334" s="200">
        <f t="shared" si="316"/>
        <v>3.9682539682539688</v>
      </c>
      <c r="AC334" s="167">
        <f t="shared" si="317"/>
        <v>160106.37400793651</v>
      </c>
      <c r="AD334" s="164">
        <f t="shared" si="318"/>
        <v>40346.806249999994</v>
      </c>
      <c r="AE334" s="200">
        <f t="shared" si="319"/>
        <v>3.9682539682539688</v>
      </c>
      <c r="AF334" s="167">
        <f t="shared" si="320"/>
        <v>160106.37400793651</v>
      </c>
      <c r="AG334" s="67"/>
    </row>
    <row r="335" spans="1:33">
      <c r="A335" s="134"/>
      <c r="B335" s="153">
        <v>3</v>
      </c>
      <c r="C335" s="121" t="s">
        <v>978</v>
      </c>
      <c r="D335" s="121" t="s">
        <v>1116</v>
      </c>
      <c r="E335" s="209">
        <v>0.1</v>
      </c>
      <c r="F335" s="164">
        <v>8</v>
      </c>
      <c r="G335" s="164">
        <f>'Assumptions HR_AUN'!$F$8</f>
        <v>80.053187003968247</v>
      </c>
      <c r="H335" s="164">
        <f t="shared" si="310"/>
        <v>64.042549603174606</v>
      </c>
      <c r="I335" s="164">
        <f t="shared" ref="I335:K335" si="322">$H335*I$331</f>
        <v>128085.09920634922</v>
      </c>
      <c r="J335" s="164">
        <f t="shared" si="322"/>
        <v>128085.09920634922</v>
      </c>
      <c r="K335" s="164">
        <f t="shared" si="322"/>
        <v>128085.09920634922</v>
      </c>
      <c r="L335" s="111"/>
      <c r="M335" s="111"/>
      <c r="N335" s="111"/>
      <c r="O335" s="111"/>
      <c r="P335" s="111"/>
      <c r="Q335" s="111"/>
      <c r="R335" s="111"/>
      <c r="S335" s="712"/>
      <c r="T335" s="169" t="s">
        <v>946</v>
      </c>
      <c r="U335" s="169" t="s">
        <v>946</v>
      </c>
      <c r="V335" s="121" t="s">
        <v>977</v>
      </c>
      <c r="W335" s="121" t="s">
        <v>961</v>
      </c>
      <c r="X335" s="170">
        <f t="shared" si="312"/>
        <v>40346.806249999994</v>
      </c>
      <c r="Y335" s="200">
        <f t="shared" si="313"/>
        <v>3.1746031746031753</v>
      </c>
      <c r="Z335" s="167">
        <f t="shared" si="314"/>
        <v>128085.09920634922</v>
      </c>
      <c r="AA335" s="164">
        <f t="shared" si="315"/>
        <v>40346.806249999994</v>
      </c>
      <c r="AB335" s="200">
        <f t="shared" si="316"/>
        <v>3.1746031746031753</v>
      </c>
      <c r="AC335" s="167">
        <f t="shared" si="317"/>
        <v>128085.09920634922</v>
      </c>
      <c r="AD335" s="164">
        <f t="shared" si="318"/>
        <v>40346.806249999994</v>
      </c>
      <c r="AE335" s="200">
        <f t="shared" si="319"/>
        <v>3.1746031746031753</v>
      </c>
      <c r="AF335" s="167">
        <f t="shared" si="320"/>
        <v>128085.09920634922</v>
      </c>
      <c r="AG335" s="67"/>
    </row>
    <row r="336" spans="1:33">
      <c r="A336" s="134"/>
      <c r="B336" s="153">
        <v>4</v>
      </c>
      <c r="C336" s="121" t="s">
        <v>992</v>
      </c>
      <c r="D336" s="121" t="s">
        <v>1117</v>
      </c>
      <c r="E336" s="209">
        <v>0.1</v>
      </c>
      <c r="F336" s="164">
        <v>1</v>
      </c>
      <c r="G336" s="164">
        <f>'Assumptions HR_AUN'!$F$8</f>
        <v>80.053187003968247</v>
      </c>
      <c r="H336" s="164">
        <f t="shared" si="310"/>
        <v>8.0053187003968258</v>
      </c>
      <c r="I336" s="164">
        <f t="shared" ref="I336:K336" si="323">$H336*I$331</f>
        <v>16010.637400793652</v>
      </c>
      <c r="J336" s="164">
        <f t="shared" si="323"/>
        <v>16010.637400793652</v>
      </c>
      <c r="K336" s="164">
        <f t="shared" si="323"/>
        <v>16010.637400793652</v>
      </c>
      <c r="L336" s="111"/>
      <c r="M336" s="111"/>
      <c r="N336" s="111"/>
      <c r="O336" s="111"/>
      <c r="P336" s="111"/>
      <c r="Q336" s="111"/>
      <c r="R336" s="111"/>
      <c r="S336" s="712"/>
      <c r="T336" s="169" t="s">
        <v>946</v>
      </c>
      <c r="U336" s="169" t="s">
        <v>946</v>
      </c>
      <c r="V336" s="121" t="s">
        <v>977</v>
      </c>
      <c r="W336" s="121" t="s">
        <v>961</v>
      </c>
      <c r="X336" s="170">
        <f t="shared" si="312"/>
        <v>40346.806249999994</v>
      </c>
      <c r="Y336" s="200">
        <f t="shared" si="313"/>
        <v>0.39682539682539691</v>
      </c>
      <c r="Z336" s="167">
        <f t="shared" si="314"/>
        <v>16010.637400793652</v>
      </c>
      <c r="AA336" s="164">
        <f t="shared" si="315"/>
        <v>40346.806249999994</v>
      </c>
      <c r="AB336" s="200">
        <f t="shared" si="316"/>
        <v>0.39682539682539691</v>
      </c>
      <c r="AC336" s="167">
        <f t="shared" si="317"/>
        <v>16010.637400793652</v>
      </c>
      <c r="AD336" s="164">
        <f t="shared" si="318"/>
        <v>40346.806249999994</v>
      </c>
      <c r="AE336" s="200">
        <f t="shared" si="319"/>
        <v>0.39682539682539691</v>
      </c>
      <c r="AF336" s="167">
        <f t="shared" si="320"/>
        <v>16010.637400793652</v>
      </c>
      <c r="AG336" s="67"/>
    </row>
    <row r="337" spans="1:33">
      <c r="A337" s="134"/>
      <c r="B337" s="153">
        <v>5</v>
      </c>
      <c r="C337" s="121" t="s">
        <v>978</v>
      </c>
      <c r="D337" s="121" t="s">
        <v>1118</v>
      </c>
      <c r="E337" s="209">
        <v>1</v>
      </c>
      <c r="F337" s="164">
        <v>4</v>
      </c>
      <c r="G337" s="164">
        <f>'Assumptions HR_AUN'!$F$8</f>
        <v>80.053187003968247</v>
      </c>
      <c r="H337" s="164">
        <f t="shared" si="310"/>
        <v>320.21274801587299</v>
      </c>
      <c r="I337" s="164">
        <f t="shared" ref="I337:K337" si="324">$H337*I$331</f>
        <v>640425.49603174604</v>
      </c>
      <c r="J337" s="164">
        <f t="shared" si="324"/>
        <v>640425.49603174604</v>
      </c>
      <c r="K337" s="164">
        <f t="shared" si="324"/>
        <v>640425.49603174604</v>
      </c>
      <c r="L337" s="111"/>
      <c r="M337" s="111"/>
      <c r="N337" s="111"/>
      <c r="O337" s="111"/>
      <c r="P337" s="111"/>
      <c r="Q337" s="111"/>
      <c r="R337" s="111"/>
      <c r="S337" s="712"/>
      <c r="T337" s="169" t="s">
        <v>946</v>
      </c>
      <c r="U337" s="169" t="s">
        <v>946</v>
      </c>
      <c r="V337" s="121" t="s">
        <v>977</v>
      </c>
      <c r="W337" s="121" t="s">
        <v>961</v>
      </c>
      <c r="X337" s="170">
        <f t="shared" si="312"/>
        <v>40346.806249999994</v>
      </c>
      <c r="Y337" s="200">
        <f t="shared" si="313"/>
        <v>15.873015873015875</v>
      </c>
      <c r="Z337" s="167">
        <f t="shared" si="314"/>
        <v>640425.49603174604</v>
      </c>
      <c r="AA337" s="164">
        <f t="shared" si="315"/>
        <v>40346.806249999994</v>
      </c>
      <c r="AB337" s="200">
        <f t="shared" si="316"/>
        <v>15.873015873015875</v>
      </c>
      <c r="AC337" s="167">
        <f t="shared" si="317"/>
        <v>640425.49603174604</v>
      </c>
      <c r="AD337" s="164">
        <f t="shared" si="318"/>
        <v>40346.806249999994</v>
      </c>
      <c r="AE337" s="200">
        <f t="shared" si="319"/>
        <v>15.873015873015875</v>
      </c>
      <c r="AF337" s="167">
        <f t="shared" si="320"/>
        <v>640425.49603174604</v>
      </c>
      <c r="AG337" s="67"/>
    </row>
    <row r="338" spans="1:33">
      <c r="A338" s="134"/>
      <c r="B338" s="153">
        <v>6</v>
      </c>
      <c r="C338" s="121" t="s">
        <v>1001</v>
      </c>
      <c r="D338" s="121"/>
      <c r="E338" s="209"/>
      <c r="F338" s="164"/>
      <c r="G338" s="185">
        <f>$C$13</f>
        <v>0.1</v>
      </c>
      <c r="H338" s="164">
        <f>SUM(H333:H337)*G338</f>
        <v>55.236699032738095</v>
      </c>
      <c r="I338" s="164">
        <f t="shared" ref="I338:K338" si="325">$H338*I$331</f>
        <v>110473.39806547618</v>
      </c>
      <c r="J338" s="164">
        <f t="shared" si="325"/>
        <v>110473.39806547618</v>
      </c>
      <c r="K338" s="164">
        <f t="shared" si="325"/>
        <v>110473.39806547618</v>
      </c>
      <c r="L338" s="111"/>
      <c r="M338" s="111"/>
      <c r="N338" s="111"/>
      <c r="O338" s="111"/>
      <c r="P338" s="111"/>
      <c r="Q338" s="111"/>
      <c r="R338" s="111"/>
      <c r="S338" s="712"/>
      <c r="T338" s="169" t="s">
        <v>946</v>
      </c>
      <c r="U338" s="169" t="s">
        <v>946</v>
      </c>
      <c r="V338" s="121" t="s">
        <v>875</v>
      </c>
      <c r="W338" s="121" t="s">
        <v>961</v>
      </c>
      <c r="X338" s="170">
        <f>'Assumptions HR_AUN'!$D$4*3</f>
        <v>88211.039066799218</v>
      </c>
      <c r="Y338" s="200">
        <f t="shared" si="313"/>
        <v>1.2523761111329665</v>
      </c>
      <c r="Z338" s="167">
        <f t="shared" si="314"/>
        <v>110473.39806547618</v>
      </c>
      <c r="AA338" s="164">
        <f>'Assumptions HR_AUN'!$D$4*3</f>
        <v>88211.039066799218</v>
      </c>
      <c r="AB338" s="200">
        <f t="shared" si="316"/>
        <v>1.2523761111329665</v>
      </c>
      <c r="AC338" s="167">
        <f t="shared" si="317"/>
        <v>110473.39806547618</v>
      </c>
      <c r="AD338" s="164">
        <f>'Assumptions HR_AUN'!$D$4*3</f>
        <v>88211.039066799218</v>
      </c>
      <c r="AE338" s="200">
        <f t="shared" si="319"/>
        <v>1.2523761111329665</v>
      </c>
      <c r="AF338" s="167">
        <f t="shared" si="320"/>
        <v>110473.39806547618</v>
      </c>
      <c r="AG338" s="67"/>
    </row>
    <row r="339" spans="1:33">
      <c r="A339" s="134"/>
      <c r="B339" s="153">
        <v>7</v>
      </c>
      <c r="C339" s="121" t="s">
        <v>962</v>
      </c>
      <c r="D339" s="121"/>
      <c r="E339" s="121"/>
      <c r="F339" s="164"/>
      <c r="G339" s="185">
        <f>$C$14</f>
        <v>0.15</v>
      </c>
      <c r="H339" s="164">
        <f>SUM(H333:H337)*G339</f>
        <v>82.855048549107138</v>
      </c>
      <c r="I339" s="164">
        <f t="shared" ref="I339:K339" si="326">$H339*I$331</f>
        <v>165710.09709821429</v>
      </c>
      <c r="J339" s="164">
        <f t="shared" si="326"/>
        <v>165710.09709821429</v>
      </c>
      <c r="K339" s="164">
        <f t="shared" si="326"/>
        <v>165710.09709821429</v>
      </c>
      <c r="L339" s="111"/>
      <c r="M339" s="111"/>
      <c r="N339" s="111"/>
      <c r="O339" s="111"/>
      <c r="P339" s="111"/>
      <c r="Q339" s="111"/>
      <c r="R339" s="111"/>
      <c r="S339" s="712"/>
      <c r="T339" s="169" t="s">
        <v>946</v>
      </c>
      <c r="U339" s="169" t="s">
        <v>946</v>
      </c>
      <c r="V339" s="121" t="s">
        <v>881</v>
      </c>
      <c r="W339" s="121" t="s">
        <v>964</v>
      </c>
      <c r="X339" s="170">
        <f>I339/4</f>
        <v>41427.524274553572</v>
      </c>
      <c r="Y339" s="200">
        <f t="shared" si="313"/>
        <v>4</v>
      </c>
      <c r="Z339" s="167">
        <f t="shared" si="314"/>
        <v>165710.09709821429</v>
      </c>
      <c r="AA339" s="164">
        <f>J339/4</f>
        <v>41427.524274553572</v>
      </c>
      <c r="AB339" s="200">
        <f t="shared" si="316"/>
        <v>4</v>
      </c>
      <c r="AC339" s="167">
        <f t="shared" si="317"/>
        <v>165710.09709821429</v>
      </c>
      <c r="AD339" s="164">
        <f>K339/4</f>
        <v>41427.524274553572</v>
      </c>
      <c r="AE339" s="200">
        <f t="shared" si="319"/>
        <v>4</v>
      </c>
      <c r="AF339" s="167">
        <f t="shared" si="320"/>
        <v>165710.09709821429</v>
      </c>
      <c r="AG339" s="67"/>
    </row>
    <row r="340" spans="1:33">
      <c r="A340" s="134"/>
      <c r="B340" s="212" t="s">
        <v>770</v>
      </c>
      <c r="C340" s="212"/>
      <c r="D340" s="212"/>
      <c r="E340" s="212"/>
      <c r="F340" s="212"/>
      <c r="G340" s="178"/>
      <c r="H340" s="178">
        <f t="shared" ref="H340:K340" si="327">SUM(H333:H339)</f>
        <v>690.4587379092261</v>
      </c>
      <c r="I340" s="178">
        <f t="shared" si="327"/>
        <v>1380917.4758184524</v>
      </c>
      <c r="J340" s="178">
        <f t="shared" si="327"/>
        <v>1380917.4758184524</v>
      </c>
      <c r="K340" s="178">
        <f t="shared" si="327"/>
        <v>1380917.4758184524</v>
      </c>
      <c r="L340" s="111"/>
      <c r="M340" s="111"/>
      <c r="N340" s="111"/>
      <c r="O340" s="111"/>
      <c r="P340" s="111"/>
      <c r="Q340" s="111"/>
      <c r="R340" s="111"/>
      <c r="S340" s="712"/>
      <c r="T340" s="111"/>
      <c r="U340" s="111"/>
      <c r="V340" s="111"/>
      <c r="W340" s="111"/>
      <c r="X340" s="132"/>
      <c r="Y340" s="133"/>
      <c r="Z340" s="132"/>
      <c r="AA340" s="132"/>
      <c r="AB340" s="133"/>
      <c r="AC340" s="132"/>
      <c r="AD340" s="132"/>
      <c r="AE340" s="133"/>
      <c r="AF340" s="132"/>
      <c r="AG340" s="67"/>
    </row>
    <row r="341" spans="1:33">
      <c r="A341" s="9"/>
      <c r="B341" s="111"/>
      <c r="C341" s="111"/>
      <c r="D341" s="111"/>
      <c r="E341" s="111"/>
      <c r="F341" s="111"/>
      <c r="G341" s="111"/>
      <c r="H341" s="151"/>
      <c r="I341" s="111"/>
      <c r="J341" s="111"/>
      <c r="K341" s="111"/>
      <c r="L341" s="111"/>
      <c r="M341" s="111"/>
      <c r="N341" s="111"/>
      <c r="O341" s="111"/>
      <c r="P341" s="111"/>
      <c r="Q341" s="111"/>
      <c r="R341" s="111"/>
      <c r="S341" s="712"/>
      <c r="T341" s="111"/>
      <c r="U341" s="111"/>
      <c r="V341" s="111"/>
      <c r="W341" s="111"/>
      <c r="X341" s="111"/>
      <c r="Y341" s="111"/>
      <c r="Z341" s="111"/>
      <c r="AA341" s="111"/>
      <c r="AB341" s="111"/>
      <c r="AC341" s="111"/>
      <c r="AD341" s="111"/>
      <c r="AE341" s="111"/>
      <c r="AF341" s="111"/>
      <c r="AG341" s="67"/>
    </row>
    <row r="342" spans="1:33">
      <c r="A342" s="9"/>
      <c r="B342" s="111"/>
      <c r="C342" s="111"/>
      <c r="D342" s="111"/>
      <c r="E342" s="111"/>
      <c r="F342" s="111"/>
      <c r="G342" s="111"/>
      <c r="H342" s="151"/>
      <c r="I342" s="111"/>
      <c r="J342" s="111"/>
      <c r="K342" s="111"/>
      <c r="L342" s="111"/>
      <c r="M342" s="111"/>
      <c r="N342" s="111"/>
      <c r="O342" s="111"/>
      <c r="P342" s="111"/>
      <c r="Q342" s="111"/>
      <c r="R342" s="111"/>
      <c r="S342" s="712"/>
      <c r="T342" s="111"/>
      <c r="U342" s="111"/>
      <c r="V342" s="111"/>
      <c r="W342" s="111"/>
      <c r="X342" s="111"/>
      <c r="Y342" s="111"/>
      <c r="Z342" s="111"/>
      <c r="AA342" s="111"/>
      <c r="AB342" s="111"/>
      <c r="AC342" s="111"/>
      <c r="AD342" s="111"/>
      <c r="AE342" s="111"/>
      <c r="AF342" s="111"/>
      <c r="AG342" s="67"/>
    </row>
    <row r="343" spans="1:33">
      <c r="A343" s="9"/>
      <c r="B343" s="111"/>
      <c r="C343" s="111"/>
      <c r="D343" s="111"/>
      <c r="E343" s="111"/>
      <c r="F343" s="111"/>
      <c r="G343" s="224"/>
      <c r="H343" s="151"/>
      <c r="I343" s="111"/>
      <c r="J343" s="180"/>
      <c r="K343" s="180"/>
      <c r="L343" s="111"/>
      <c r="M343" s="111"/>
      <c r="N343" s="111"/>
      <c r="O343" s="111"/>
      <c r="P343" s="111"/>
      <c r="Q343" s="111"/>
      <c r="R343" s="111"/>
      <c r="S343" s="712"/>
      <c r="T343" s="111"/>
      <c r="U343" s="111"/>
      <c r="V343" s="111"/>
      <c r="W343" s="111"/>
      <c r="X343" s="132"/>
      <c r="Y343" s="111"/>
      <c r="Z343" s="111"/>
      <c r="AA343" s="111"/>
      <c r="AB343" s="111"/>
      <c r="AC343" s="111"/>
      <c r="AD343" s="111"/>
      <c r="AE343" s="111"/>
      <c r="AF343" s="111"/>
      <c r="AG343" s="67"/>
    </row>
    <row r="344" spans="1:33">
      <c r="A344" s="9"/>
      <c r="B344" s="180"/>
      <c r="C344" s="111"/>
      <c r="D344" s="111"/>
      <c r="E344" s="111"/>
      <c r="F344" s="111"/>
      <c r="G344" s="111"/>
      <c r="H344" s="111"/>
      <c r="I344" s="180" t="s">
        <v>1119</v>
      </c>
      <c r="J344" s="67"/>
      <c r="K344" s="67"/>
      <c r="L344" s="111"/>
      <c r="M344" s="111"/>
      <c r="N344" s="111"/>
      <c r="O344" s="111"/>
      <c r="P344" s="111"/>
      <c r="Q344" s="111"/>
      <c r="R344" s="111"/>
      <c r="S344" s="712"/>
      <c r="T344" s="111"/>
      <c r="U344" s="111"/>
      <c r="V344" s="111"/>
      <c r="W344" s="111"/>
      <c r="X344" s="132"/>
      <c r="Y344" s="133"/>
      <c r="Z344" s="132"/>
      <c r="AA344" s="132"/>
      <c r="AB344" s="133"/>
      <c r="AC344" s="132"/>
      <c r="AD344" s="132"/>
      <c r="AE344" s="133"/>
      <c r="AF344" s="132"/>
      <c r="AG344" s="67"/>
    </row>
    <row r="345" spans="1:33">
      <c r="A345" s="725">
        <v>18</v>
      </c>
      <c r="B345" s="726" t="e" vm="1">
        <f>'[2]AUN Budget'!$E$79</f>
        <v>#VALUE!</v>
      </c>
      <c r="C345" s="731"/>
      <c r="D345" s="731"/>
      <c r="E345" s="731"/>
      <c r="F345" s="731"/>
      <c r="G345" s="731"/>
      <c r="H345" s="731" t="s">
        <v>1120</v>
      </c>
      <c r="I345" s="121">
        <v>250</v>
      </c>
      <c r="J345" s="121">
        <v>250</v>
      </c>
      <c r="K345" s="121">
        <f>250</f>
        <v>250</v>
      </c>
      <c r="L345" s="111"/>
      <c r="M345" s="111"/>
      <c r="N345" s="111"/>
      <c r="O345" s="111"/>
      <c r="P345" s="111"/>
      <c r="Q345" s="111"/>
      <c r="R345" s="111"/>
      <c r="S345" s="712"/>
      <c r="T345" s="180"/>
      <c r="U345" s="111"/>
      <c r="V345" s="111"/>
      <c r="W345" s="111"/>
      <c r="X345" s="132"/>
      <c r="Y345" s="133"/>
      <c r="Z345" s="132"/>
      <c r="AA345" s="132"/>
      <c r="AB345" s="133"/>
      <c r="AC345" s="132"/>
      <c r="AD345" s="132"/>
      <c r="AE345" s="133"/>
      <c r="AF345" s="132"/>
      <c r="AG345" s="67"/>
    </row>
    <row r="346" spans="1:33">
      <c r="A346" s="157" t="s">
        <v>1121</v>
      </c>
      <c r="B346" s="113" t="s">
        <v>755</v>
      </c>
      <c r="C346" s="113" t="s">
        <v>966</v>
      </c>
      <c r="D346" s="113" t="s">
        <v>967</v>
      </c>
      <c r="E346" s="113" t="s">
        <v>968</v>
      </c>
      <c r="F346" s="113" t="s">
        <v>969</v>
      </c>
      <c r="G346" s="113" t="s">
        <v>970</v>
      </c>
      <c r="H346" s="113" t="s">
        <v>971</v>
      </c>
      <c r="I346" s="113" t="s">
        <v>972</v>
      </c>
      <c r="J346" s="113" t="s">
        <v>973</v>
      </c>
      <c r="K346" s="113" t="s">
        <v>974</v>
      </c>
      <c r="L346" s="182"/>
      <c r="M346" s="182"/>
      <c r="N346" s="182"/>
      <c r="O346" s="111"/>
      <c r="P346" s="111"/>
      <c r="Q346" s="111"/>
      <c r="R346" s="111"/>
      <c r="S346" s="727"/>
      <c r="T346" s="159" t="s">
        <v>387</v>
      </c>
      <c r="U346" s="159" t="s">
        <v>388</v>
      </c>
      <c r="V346" s="159" t="s">
        <v>934</v>
      </c>
      <c r="W346" s="160" t="s">
        <v>935</v>
      </c>
      <c r="X346" s="161" t="s">
        <v>936</v>
      </c>
      <c r="Y346" s="162" t="s">
        <v>937</v>
      </c>
      <c r="Z346" s="161" t="s">
        <v>938</v>
      </c>
      <c r="AA346" s="161" t="s">
        <v>939</v>
      </c>
      <c r="AB346" s="162" t="s">
        <v>940</v>
      </c>
      <c r="AC346" s="161" t="s">
        <v>941</v>
      </c>
      <c r="AD346" s="161" t="s">
        <v>942</v>
      </c>
      <c r="AE346" s="162" t="s">
        <v>943</v>
      </c>
      <c r="AF346" s="161" t="s">
        <v>944</v>
      </c>
      <c r="AG346" s="67"/>
    </row>
    <row r="347" spans="1:33">
      <c r="A347" s="134"/>
      <c r="B347" s="153">
        <v>1</v>
      </c>
      <c r="C347" s="121" t="s">
        <v>978</v>
      </c>
      <c r="D347" s="121" t="s">
        <v>975</v>
      </c>
      <c r="E347" s="209">
        <v>1</v>
      </c>
      <c r="F347" s="164">
        <v>1</v>
      </c>
      <c r="G347" s="164">
        <f>'Assumptions HR_AUN'!$F$8</f>
        <v>80.053187003968247</v>
      </c>
      <c r="H347" s="164">
        <f t="shared" ref="H347:H351" si="328">E347*F347*G347</f>
        <v>80.053187003968247</v>
      </c>
      <c r="I347" s="164">
        <f t="shared" ref="I347:K347" si="329">$H347*I$345</f>
        <v>20013.296750992064</v>
      </c>
      <c r="J347" s="164">
        <f t="shared" si="329"/>
        <v>20013.296750992064</v>
      </c>
      <c r="K347" s="164">
        <f t="shared" si="329"/>
        <v>20013.296750992064</v>
      </c>
      <c r="L347" s="132"/>
      <c r="M347" s="132"/>
      <c r="N347" s="132"/>
      <c r="O347" s="111"/>
      <c r="P347" s="111"/>
      <c r="Q347" s="111"/>
      <c r="R347" s="111"/>
      <c r="S347" s="712"/>
      <c r="T347" s="169" t="s">
        <v>946</v>
      </c>
      <c r="U347" s="169" t="s">
        <v>946</v>
      </c>
      <c r="V347" s="121" t="s">
        <v>977</v>
      </c>
      <c r="W347" s="121" t="s">
        <v>961</v>
      </c>
      <c r="X347" s="170">
        <f t="shared" ref="X347:X350" si="330">G347*$D$35*$D$36</f>
        <v>40346.806249999994</v>
      </c>
      <c r="Y347" s="200">
        <f t="shared" ref="Y347:Y361" si="331">I347/X347</f>
        <v>0.4960317460317461</v>
      </c>
      <c r="Z347" s="167">
        <f t="shared" ref="Z347:Z361" si="332">X347*Y347</f>
        <v>20013.296750992064</v>
      </c>
      <c r="AA347" s="164">
        <f t="shared" ref="AA347:AA360" si="333">X347</f>
        <v>40346.806249999994</v>
      </c>
      <c r="AB347" s="200">
        <f t="shared" ref="AB347:AB361" si="334">J347/AA347</f>
        <v>0.4960317460317461</v>
      </c>
      <c r="AC347" s="167">
        <f t="shared" ref="AC347:AC361" si="335">AA347*AB347</f>
        <v>20013.296750992064</v>
      </c>
      <c r="AD347" s="164">
        <f t="shared" ref="AD347:AD350" si="336">G347*$D$35*$D$36</f>
        <v>40346.806249999994</v>
      </c>
      <c r="AE347" s="200">
        <f t="shared" ref="AE347:AE361" si="337">K347/AD347</f>
        <v>0.4960317460317461</v>
      </c>
      <c r="AF347" s="167">
        <f t="shared" ref="AF347:AF361" si="338">AD347*AE347</f>
        <v>20013.296750992064</v>
      </c>
      <c r="AG347" s="67"/>
    </row>
    <row r="348" spans="1:33">
      <c r="A348" s="134"/>
      <c r="B348" s="153">
        <v>2</v>
      </c>
      <c r="C348" s="121" t="s">
        <v>978</v>
      </c>
      <c r="D348" s="121" t="s">
        <v>1122</v>
      </c>
      <c r="E348" s="209">
        <v>0.2</v>
      </c>
      <c r="F348" s="164">
        <v>1</v>
      </c>
      <c r="G348" s="164">
        <f>'Assumptions HR_AUN'!$F$8</f>
        <v>80.053187003968247</v>
      </c>
      <c r="H348" s="164">
        <f t="shared" si="328"/>
        <v>16.010637400793652</v>
      </c>
      <c r="I348" s="164">
        <f t="shared" ref="I348:K348" si="339">$H348*I$345</f>
        <v>4002.659350198413</v>
      </c>
      <c r="J348" s="164">
        <f t="shared" si="339"/>
        <v>4002.659350198413</v>
      </c>
      <c r="K348" s="164">
        <f t="shared" si="339"/>
        <v>4002.659350198413</v>
      </c>
      <c r="L348" s="132"/>
      <c r="M348" s="132"/>
      <c r="N348" s="132"/>
      <c r="O348" s="111"/>
      <c r="P348" s="111"/>
      <c r="Q348" s="111"/>
      <c r="R348" s="111"/>
      <c r="S348" s="712"/>
      <c r="T348" s="169" t="s">
        <v>946</v>
      </c>
      <c r="U348" s="169" t="s">
        <v>946</v>
      </c>
      <c r="V348" s="121" t="s">
        <v>977</v>
      </c>
      <c r="W348" s="121" t="s">
        <v>961</v>
      </c>
      <c r="X348" s="170">
        <f t="shared" si="330"/>
        <v>40346.806249999994</v>
      </c>
      <c r="Y348" s="200">
        <f t="shared" si="331"/>
        <v>9.9206349206349229E-2</v>
      </c>
      <c r="Z348" s="167">
        <f t="shared" si="332"/>
        <v>4002.659350198413</v>
      </c>
      <c r="AA348" s="164">
        <f t="shared" si="333"/>
        <v>40346.806249999994</v>
      </c>
      <c r="AB348" s="200">
        <f t="shared" si="334"/>
        <v>9.9206349206349229E-2</v>
      </c>
      <c r="AC348" s="167">
        <f t="shared" si="335"/>
        <v>4002.659350198413</v>
      </c>
      <c r="AD348" s="164">
        <f t="shared" si="336"/>
        <v>40346.806249999994</v>
      </c>
      <c r="AE348" s="200">
        <f t="shared" si="337"/>
        <v>9.9206349206349229E-2</v>
      </c>
      <c r="AF348" s="167">
        <f t="shared" si="338"/>
        <v>4002.659350198413</v>
      </c>
      <c r="AG348" s="67"/>
    </row>
    <row r="349" spans="1:33">
      <c r="A349" s="134"/>
      <c r="B349" s="153">
        <v>3</v>
      </c>
      <c r="C349" s="121" t="s">
        <v>978</v>
      </c>
      <c r="D349" s="121" t="s">
        <v>1123</v>
      </c>
      <c r="E349" s="209">
        <v>1</v>
      </c>
      <c r="F349" s="164">
        <v>3</v>
      </c>
      <c r="G349" s="164">
        <f>'Assumptions HR_AUN'!$F$8</f>
        <v>80.053187003968247</v>
      </c>
      <c r="H349" s="164">
        <f t="shared" si="328"/>
        <v>240.15956101190474</v>
      </c>
      <c r="I349" s="164">
        <f t="shared" ref="I349:K349" si="340">$H349*I$345</f>
        <v>60039.890252976184</v>
      </c>
      <c r="J349" s="164">
        <f t="shared" si="340"/>
        <v>60039.890252976184</v>
      </c>
      <c r="K349" s="164">
        <f t="shared" si="340"/>
        <v>60039.890252976184</v>
      </c>
      <c r="L349" s="132"/>
      <c r="M349" s="132"/>
      <c r="N349" s="132"/>
      <c r="O349" s="111"/>
      <c r="P349" s="111"/>
      <c r="Q349" s="111"/>
      <c r="R349" s="111"/>
      <c r="S349" s="712"/>
      <c r="T349" s="169" t="s">
        <v>946</v>
      </c>
      <c r="U349" s="169" t="s">
        <v>946</v>
      </c>
      <c r="V349" s="121" t="s">
        <v>977</v>
      </c>
      <c r="W349" s="121" t="s">
        <v>961</v>
      </c>
      <c r="X349" s="170">
        <f t="shared" si="330"/>
        <v>40346.806249999994</v>
      </c>
      <c r="Y349" s="200">
        <f t="shared" si="331"/>
        <v>1.4880952380952381</v>
      </c>
      <c r="Z349" s="167">
        <f t="shared" si="332"/>
        <v>60039.890252976184</v>
      </c>
      <c r="AA349" s="164">
        <f t="shared" si="333"/>
        <v>40346.806249999994</v>
      </c>
      <c r="AB349" s="200">
        <f t="shared" si="334"/>
        <v>1.4880952380952381</v>
      </c>
      <c r="AC349" s="167">
        <f t="shared" si="335"/>
        <v>60039.890252976184</v>
      </c>
      <c r="AD349" s="164">
        <f t="shared" si="336"/>
        <v>40346.806249999994</v>
      </c>
      <c r="AE349" s="200">
        <f t="shared" si="337"/>
        <v>1.4880952380952381</v>
      </c>
      <c r="AF349" s="167">
        <f t="shared" si="338"/>
        <v>60039.890252976184</v>
      </c>
      <c r="AG349" s="67"/>
    </row>
    <row r="350" spans="1:33">
      <c r="A350" s="134"/>
      <c r="B350" s="153">
        <v>4</v>
      </c>
      <c r="C350" s="121" t="s">
        <v>978</v>
      </c>
      <c r="D350" s="121" t="s">
        <v>1122</v>
      </c>
      <c r="E350" s="209">
        <v>0.2</v>
      </c>
      <c r="F350" s="164">
        <v>1</v>
      </c>
      <c r="G350" s="164">
        <f>'Assumptions HR_AUN'!$F$8</f>
        <v>80.053187003968247</v>
      </c>
      <c r="H350" s="164">
        <f t="shared" si="328"/>
        <v>16.010637400793652</v>
      </c>
      <c r="I350" s="164">
        <f t="shared" ref="I350:K350" si="341">$H350*I$345</f>
        <v>4002.659350198413</v>
      </c>
      <c r="J350" s="164">
        <f t="shared" si="341"/>
        <v>4002.659350198413</v>
      </c>
      <c r="K350" s="164">
        <f t="shared" si="341"/>
        <v>4002.659350198413</v>
      </c>
      <c r="L350" s="132"/>
      <c r="M350" s="132"/>
      <c r="N350" s="132"/>
      <c r="O350" s="111"/>
      <c r="P350" s="111"/>
      <c r="Q350" s="111"/>
      <c r="R350" s="111"/>
      <c r="S350" s="712"/>
      <c r="T350" s="169" t="s">
        <v>946</v>
      </c>
      <c r="U350" s="169" t="s">
        <v>946</v>
      </c>
      <c r="V350" s="121" t="s">
        <v>977</v>
      </c>
      <c r="W350" s="121" t="s">
        <v>961</v>
      </c>
      <c r="X350" s="170">
        <f t="shared" si="330"/>
        <v>40346.806249999994</v>
      </c>
      <c r="Y350" s="200">
        <f t="shared" si="331"/>
        <v>9.9206349206349229E-2</v>
      </c>
      <c r="Z350" s="167">
        <f t="shared" si="332"/>
        <v>4002.659350198413</v>
      </c>
      <c r="AA350" s="164">
        <f t="shared" si="333"/>
        <v>40346.806249999994</v>
      </c>
      <c r="AB350" s="200">
        <f t="shared" si="334"/>
        <v>9.9206349206349229E-2</v>
      </c>
      <c r="AC350" s="167">
        <f t="shared" si="335"/>
        <v>4002.659350198413</v>
      </c>
      <c r="AD350" s="164">
        <f t="shared" si="336"/>
        <v>40346.806249999994</v>
      </c>
      <c r="AE350" s="200">
        <f t="shared" si="337"/>
        <v>9.9206349206349229E-2</v>
      </c>
      <c r="AF350" s="167">
        <f t="shared" si="338"/>
        <v>4002.659350198413</v>
      </c>
      <c r="AG350" s="67"/>
    </row>
    <row r="351" spans="1:33">
      <c r="A351" s="134"/>
      <c r="B351" s="153">
        <v>5</v>
      </c>
      <c r="C351" s="121" t="s">
        <v>1124</v>
      </c>
      <c r="D351" s="121" t="s">
        <v>1124</v>
      </c>
      <c r="E351" s="209">
        <v>1</v>
      </c>
      <c r="F351" s="164">
        <v>4</v>
      </c>
      <c r="G351" s="164">
        <f>'Assumptions HR_AUN'!$F$6</f>
        <v>182.10571428571424</v>
      </c>
      <c r="H351" s="164">
        <f t="shared" si="328"/>
        <v>728.42285714285697</v>
      </c>
      <c r="I351" s="164">
        <f t="shared" ref="I351:K351" si="342">$H351*I$345</f>
        <v>182105.71428571423</v>
      </c>
      <c r="J351" s="164">
        <f t="shared" si="342"/>
        <v>182105.71428571423</v>
      </c>
      <c r="K351" s="164">
        <f t="shared" si="342"/>
        <v>182105.71428571423</v>
      </c>
      <c r="L351" s="132"/>
      <c r="M351" s="132"/>
      <c r="N351" s="132"/>
      <c r="O351" s="111"/>
      <c r="P351" s="111"/>
      <c r="Q351" s="111"/>
      <c r="R351" s="111"/>
      <c r="S351" s="712"/>
      <c r="T351" s="169" t="s">
        <v>946</v>
      </c>
      <c r="U351" s="169" t="s">
        <v>946</v>
      </c>
      <c r="V351" s="121" t="s">
        <v>848</v>
      </c>
      <c r="W351" s="164" t="s">
        <v>947</v>
      </c>
      <c r="X351" s="170">
        <f>G351*$D$35*$D$36/20</f>
        <v>4589.0639999999985</v>
      </c>
      <c r="Y351" s="200">
        <f t="shared" si="331"/>
        <v>39.682539682539684</v>
      </c>
      <c r="Z351" s="167">
        <f t="shared" si="332"/>
        <v>182105.71428571423</v>
      </c>
      <c r="AA351" s="164">
        <f t="shared" si="333"/>
        <v>4589.0639999999985</v>
      </c>
      <c r="AB351" s="200">
        <f t="shared" si="334"/>
        <v>39.682539682539684</v>
      </c>
      <c r="AC351" s="167">
        <f t="shared" si="335"/>
        <v>182105.71428571423</v>
      </c>
      <c r="AD351" s="164">
        <f>G351*$D$35*$D$36/20</f>
        <v>4589.0639999999985</v>
      </c>
      <c r="AE351" s="200">
        <f t="shared" si="337"/>
        <v>39.682539682539684</v>
      </c>
      <c r="AF351" s="167">
        <f t="shared" si="338"/>
        <v>182105.71428571423</v>
      </c>
      <c r="AG351" s="67"/>
    </row>
    <row r="352" spans="1:33">
      <c r="A352" s="134"/>
      <c r="B352" s="153">
        <v>6</v>
      </c>
      <c r="C352" s="121" t="s">
        <v>1125</v>
      </c>
      <c r="D352" s="121" t="s">
        <v>1125</v>
      </c>
      <c r="E352" s="209"/>
      <c r="F352" s="164">
        <v>6</v>
      </c>
      <c r="G352" s="164">
        <v>15</v>
      </c>
      <c r="H352" s="164">
        <f>F352*G352</f>
        <v>90</v>
      </c>
      <c r="I352" s="164">
        <f t="shared" ref="I352:K352" si="343">$H352*I$345</f>
        <v>22500</v>
      </c>
      <c r="J352" s="164">
        <f t="shared" si="343"/>
        <v>22500</v>
      </c>
      <c r="K352" s="164">
        <f t="shared" si="343"/>
        <v>22500</v>
      </c>
      <c r="L352" s="132"/>
      <c r="M352" s="132"/>
      <c r="N352" s="132"/>
      <c r="O352" s="111"/>
      <c r="P352" s="111"/>
      <c r="Q352" s="111"/>
      <c r="R352" s="111"/>
      <c r="S352" s="712"/>
      <c r="T352" s="169" t="s">
        <v>946</v>
      </c>
      <c r="U352" s="169" t="s">
        <v>946</v>
      </c>
      <c r="V352" s="121" t="s">
        <v>994</v>
      </c>
      <c r="W352" s="121" t="s">
        <v>789</v>
      </c>
      <c r="X352" s="170">
        <f>$G$358</f>
        <v>500</v>
      </c>
      <c r="Y352" s="200">
        <f t="shared" si="331"/>
        <v>45</v>
      </c>
      <c r="Z352" s="167">
        <f t="shared" si="332"/>
        <v>22500</v>
      </c>
      <c r="AA352" s="164">
        <f t="shared" si="333"/>
        <v>500</v>
      </c>
      <c r="AB352" s="200">
        <f t="shared" si="334"/>
        <v>45</v>
      </c>
      <c r="AC352" s="167">
        <f t="shared" si="335"/>
        <v>22500</v>
      </c>
      <c r="AD352" s="164">
        <f t="shared" ref="AD352:AD354" si="344">G352*$D$35*$D$36</f>
        <v>7560</v>
      </c>
      <c r="AE352" s="200">
        <f t="shared" si="337"/>
        <v>2.9761904761904763</v>
      </c>
      <c r="AF352" s="167">
        <f t="shared" si="338"/>
        <v>22500</v>
      </c>
      <c r="AG352" s="67"/>
    </row>
    <row r="353" spans="1:33">
      <c r="A353" s="134"/>
      <c r="B353" s="153">
        <v>7</v>
      </c>
      <c r="C353" s="121" t="s">
        <v>1126</v>
      </c>
      <c r="D353" s="121" t="s">
        <v>1126</v>
      </c>
      <c r="E353" s="209">
        <v>1</v>
      </c>
      <c r="F353" s="164">
        <v>2</v>
      </c>
      <c r="G353" s="164">
        <f>'Assumptions HR_AUN'!$F$8</f>
        <v>80.053187003968247</v>
      </c>
      <c r="H353" s="164">
        <f t="shared" ref="H353:H355" si="345">E353*F353*G353</f>
        <v>160.10637400793649</v>
      </c>
      <c r="I353" s="164">
        <f t="shared" ref="I353:K353" si="346">$H353*I$345</f>
        <v>40026.593501984127</v>
      </c>
      <c r="J353" s="164">
        <f t="shared" si="346"/>
        <v>40026.593501984127</v>
      </c>
      <c r="K353" s="164">
        <f t="shared" si="346"/>
        <v>40026.593501984127</v>
      </c>
      <c r="L353" s="132"/>
      <c r="M353" s="132"/>
      <c r="N353" s="132"/>
      <c r="O353" s="111"/>
      <c r="P353" s="111"/>
      <c r="Q353" s="111"/>
      <c r="R353" s="111"/>
      <c r="S353" s="712"/>
      <c r="T353" s="169" t="s">
        <v>946</v>
      </c>
      <c r="U353" s="169" t="s">
        <v>946</v>
      </c>
      <c r="V353" s="121" t="s">
        <v>977</v>
      </c>
      <c r="W353" s="121" t="s">
        <v>961</v>
      </c>
      <c r="X353" s="170">
        <f t="shared" ref="X353:X354" si="347">G353*$D$35*$D$36</f>
        <v>40346.806249999994</v>
      </c>
      <c r="Y353" s="200">
        <f t="shared" si="331"/>
        <v>0.9920634920634922</v>
      </c>
      <c r="Z353" s="167">
        <f t="shared" si="332"/>
        <v>40026.593501984127</v>
      </c>
      <c r="AA353" s="164">
        <f t="shared" si="333"/>
        <v>40346.806249999994</v>
      </c>
      <c r="AB353" s="200">
        <f t="shared" si="334"/>
        <v>0.9920634920634922</v>
      </c>
      <c r="AC353" s="167">
        <f t="shared" si="335"/>
        <v>40026.593501984127</v>
      </c>
      <c r="AD353" s="164">
        <f t="shared" si="344"/>
        <v>40346.806249999994</v>
      </c>
      <c r="AE353" s="200">
        <f t="shared" si="337"/>
        <v>0.9920634920634922</v>
      </c>
      <c r="AF353" s="167">
        <f t="shared" si="338"/>
        <v>40026.593501984127</v>
      </c>
      <c r="AG353" s="67"/>
    </row>
    <row r="354" spans="1:33">
      <c r="A354" s="134"/>
      <c r="B354" s="153">
        <v>8</v>
      </c>
      <c r="C354" s="121" t="s">
        <v>978</v>
      </c>
      <c r="D354" s="121" t="s">
        <v>1127</v>
      </c>
      <c r="E354" s="209">
        <v>0.2</v>
      </c>
      <c r="F354" s="164">
        <v>2</v>
      </c>
      <c r="G354" s="164">
        <f>'Assumptions HR_AUN'!$F$8</f>
        <v>80.053187003968247</v>
      </c>
      <c r="H354" s="164">
        <f t="shared" si="345"/>
        <v>32.021274801587303</v>
      </c>
      <c r="I354" s="164">
        <f t="shared" ref="I354:K354" si="348">$H354*I$345</f>
        <v>8005.318700396826</v>
      </c>
      <c r="J354" s="164">
        <f t="shared" si="348"/>
        <v>8005.318700396826</v>
      </c>
      <c r="K354" s="164">
        <f t="shared" si="348"/>
        <v>8005.318700396826</v>
      </c>
      <c r="L354" s="132"/>
      <c r="M354" s="132"/>
      <c r="N354" s="132"/>
      <c r="O354" s="111"/>
      <c r="P354" s="111"/>
      <c r="Q354" s="111"/>
      <c r="R354" s="111"/>
      <c r="S354" s="712"/>
      <c r="T354" s="169" t="s">
        <v>946</v>
      </c>
      <c r="U354" s="169" t="s">
        <v>946</v>
      </c>
      <c r="V354" s="121" t="s">
        <v>977</v>
      </c>
      <c r="W354" s="121" t="s">
        <v>961</v>
      </c>
      <c r="X354" s="170">
        <f t="shared" si="347"/>
        <v>40346.806249999994</v>
      </c>
      <c r="Y354" s="200">
        <f t="shared" si="331"/>
        <v>0.19841269841269846</v>
      </c>
      <c r="Z354" s="167">
        <f t="shared" si="332"/>
        <v>8005.318700396826</v>
      </c>
      <c r="AA354" s="164">
        <f t="shared" si="333"/>
        <v>40346.806249999994</v>
      </c>
      <c r="AB354" s="200">
        <f t="shared" si="334"/>
        <v>0.19841269841269846</v>
      </c>
      <c r="AC354" s="167">
        <f t="shared" si="335"/>
        <v>8005.318700396826</v>
      </c>
      <c r="AD354" s="164">
        <f t="shared" si="344"/>
        <v>40346.806249999994</v>
      </c>
      <c r="AE354" s="200">
        <f t="shared" si="337"/>
        <v>0.19841269841269846</v>
      </c>
      <c r="AF354" s="167">
        <f t="shared" si="338"/>
        <v>8005.318700396826</v>
      </c>
      <c r="AG354" s="67"/>
    </row>
    <row r="355" spans="1:33">
      <c r="A355" s="134"/>
      <c r="B355" s="153">
        <v>9</v>
      </c>
      <c r="C355" s="121" t="s">
        <v>1128</v>
      </c>
      <c r="D355" s="121" t="s">
        <v>1129</v>
      </c>
      <c r="E355" s="209">
        <v>0.5</v>
      </c>
      <c r="F355" s="164">
        <v>2</v>
      </c>
      <c r="G355" s="164">
        <f>'Assumptions HR_AUN'!$F$6</f>
        <v>182.10571428571424</v>
      </c>
      <c r="H355" s="164">
        <f t="shared" si="345"/>
        <v>182.10571428571424</v>
      </c>
      <c r="I355" s="164">
        <f t="shared" ref="I355:K355" si="349">$H355*I$345</f>
        <v>45526.428571428558</v>
      </c>
      <c r="J355" s="164">
        <f t="shared" si="349"/>
        <v>45526.428571428558</v>
      </c>
      <c r="K355" s="164">
        <f t="shared" si="349"/>
        <v>45526.428571428558</v>
      </c>
      <c r="L355" s="132"/>
      <c r="M355" s="132"/>
      <c r="N355" s="132"/>
      <c r="O355" s="111"/>
      <c r="P355" s="111"/>
      <c r="Q355" s="111"/>
      <c r="R355" s="111"/>
      <c r="S355" s="712"/>
      <c r="T355" s="169" t="s">
        <v>946</v>
      </c>
      <c r="U355" s="169" t="s">
        <v>946</v>
      </c>
      <c r="V355" s="121" t="s">
        <v>848</v>
      </c>
      <c r="W355" s="164" t="s">
        <v>947</v>
      </c>
      <c r="X355" s="170">
        <f>G355*$D$35*$D$36/20</f>
        <v>4589.0639999999985</v>
      </c>
      <c r="Y355" s="200">
        <f t="shared" si="331"/>
        <v>9.9206349206349209</v>
      </c>
      <c r="Z355" s="167">
        <f t="shared" si="332"/>
        <v>45526.428571428558</v>
      </c>
      <c r="AA355" s="164">
        <f t="shared" si="333"/>
        <v>4589.0639999999985</v>
      </c>
      <c r="AB355" s="200">
        <f t="shared" si="334"/>
        <v>9.9206349206349209</v>
      </c>
      <c r="AC355" s="167">
        <f t="shared" si="335"/>
        <v>45526.428571428558</v>
      </c>
      <c r="AD355" s="164">
        <f>G355*$D$35*$D$36/20</f>
        <v>4589.0639999999985</v>
      </c>
      <c r="AE355" s="200">
        <f t="shared" si="337"/>
        <v>9.9206349206349209</v>
      </c>
      <c r="AF355" s="167">
        <f t="shared" si="338"/>
        <v>45526.428571428558</v>
      </c>
      <c r="AG355" s="67"/>
    </row>
    <row r="356" spans="1:33">
      <c r="A356" s="134"/>
      <c r="B356" s="153">
        <v>10</v>
      </c>
      <c r="C356" s="121" t="s">
        <v>987</v>
      </c>
      <c r="D356" s="121" t="s">
        <v>907</v>
      </c>
      <c r="E356" s="209"/>
      <c r="F356" s="164">
        <v>1</v>
      </c>
      <c r="G356" s="164">
        <f>$D$28</f>
        <v>1490</v>
      </c>
      <c r="H356" s="164">
        <f t="shared" ref="H356:H359" si="350">F356*G356</f>
        <v>1490</v>
      </c>
      <c r="I356" s="164">
        <f t="shared" ref="I356:K356" si="351">$H356*I$345</f>
        <v>372500</v>
      </c>
      <c r="J356" s="164">
        <f t="shared" si="351"/>
        <v>372500</v>
      </c>
      <c r="K356" s="164">
        <f t="shared" si="351"/>
        <v>372500</v>
      </c>
      <c r="L356" s="132"/>
      <c r="M356" s="132"/>
      <c r="N356" s="132"/>
      <c r="O356" s="111"/>
      <c r="P356" s="111"/>
      <c r="Q356" s="111"/>
      <c r="R356" s="111"/>
      <c r="S356" s="712"/>
      <c r="T356" s="169" t="s">
        <v>946</v>
      </c>
      <c r="U356" s="169" t="s">
        <v>946</v>
      </c>
      <c r="V356" s="121" t="s">
        <v>994</v>
      </c>
      <c r="W356" s="121" t="s">
        <v>789</v>
      </c>
      <c r="X356" s="170">
        <f t="shared" ref="X356:X358" si="352">$G$358</f>
        <v>500</v>
      </c>
      <c r="Y356" s="200">
        <f t="shared" si="331"/>
        <v>745</v>
      </c>
      <c r="Z356" s="167">
        <f t="shared" si="332"/>
        <v>372500</v>
      </c>
      <c r="AA356" s="164">
        <f t="shared" si="333"/>
        <v>500</v>
      </c>
      <c r="AB356" s="200">
        <f t="shared" si="334"/>
        <v>745</v>
      </c>
      <c r="AC356" s="167">
        <f t="shared" si="335"/>
        <v>372500</v>
      </c>
      <c r="AD356" s="164">
        <f t="shared" ref="AD356:AD358" si="353">G356</f>
        <v>1490</v>
      </c>
      <c r="AE356" s="200">
        <f t="shared" si="337"/>
        <v>250</v>
      </c>
      <c r="AF356" s="167">
        <f t="shared" si="338"/>
        <v>372500</v>
      </c>
      <c r="AG356" s="67"/>
    </row>
    <row r="357" spans="1:33">
      <c r="A357" s="134"/>
      <c r="B357" s="153">
        <v>11</v>
      </c>
      <c r="C357" s="121" t="s">
        <v>987</v>
      </c>
      <c r="D357" s="121" t="s">
        <v>908</v>
      </c>
      <c r="E357" s="209"/>
      <c r="F357" s="164">
        <v>1</v>
      </c>
      <c r="G357" s="164">
        <f>$D$29</f>
        <v>1100</v>
      </c>
      <c r="H357" s="164">
        <f t="shared" si="350"/>
        <v>1100</v>
      </c>
      <c r="I357" s="164">
        <f t="shared" ref="I357:K357" si="354">$H357*I$345</f>
        <v>275000</v>
      </c>
      <c r="J357" s="164">
        <f t="shared" si="354"/>
        <v>275000</v>
      </c>
      <c r="K357" s="164">
        <f t="shared" si="354"/>
        <v>275000</v>
      </c>
      <c r="L357" s="132"/>
      <c r="M357" s="132"/>
      <c r="N357" s="132"/>
      <c r="O357" s="111"/>
      <c r="P357" s="111"/>
      <c r="Q357" s="111"/>
      <c r="R357" s="111"/>
      <c r="S357" s="712"/>
      <c r="T357" s="169" t="s">
        <v>946</v>
      </c>
      <c r="U357" s="169" t="s">
        <v>946</v>
      </c>
      <c r="V357" s="121" t="s">
        <v>994</v>
      </c>
      <c r="W357" s="121" t="s">
        <v>789</v>
      </c>
      <c r="X357" s="170">
        <f t="shared" si="352"/>
        <v>500</v>
      </c>
      <c r="Y357" s="200">
        <f t="shared" si="331"/>
        <v>550</v>
      </c>
      <c r="Z357" s="167">
        <f t="shared" si="332"/>
        <v>275000</v>
      </c>
      <c r="AA357" s="164">
        <f t="shared" si="333"/>
        <v>500</v>
      </c>
      <c r="AB357" s="200">
        <f t="shared" si="334"/>
        <v>550</v>
      </c>
      <c r="AC357" s="167">
        <f t="shared" si="335"/>
        <v>275000</v>
      </c>
      <c r="AD357" s="164">
        <f t="shared" si="353"/>
        <v>1100</v>
      </c>
      <c r="AE357" s="200">
        <f t="shared" si="337"/>
        <v>250</v>
      </c>
      <c r="AF357" s="167">
        <f t="shared" si="338"/>
        <v>275000</v>
      </c>
      <c r="AG357" s="67"/>
    </row>
    <row r="358" spans="1:33">
      <c r="A358" s="134"/>
      <c r="B358" s="153">
        <v>12</v>
      </c>
      <c r="C358" s="121" t="s">
        <v>987</v>
      </c>
      <c r="D358" s="121" t="s">
        <v>1130</v>
      </c>
      <c r="E358" s="209"/>
      <c r="F358" s="164">
        <v>4</v>
      </c>
      <c r="G358" s="164">
        <v>500</v>
      </c>
      <c r="H358" s="164">
        <f t="shared" si="350"/>
        <v>2000</v>
      </c>
      <c r="I358" s="164">
        <f t="shared" ref="I358:K358" si="355">$H358*I$345</f>
        <v>500000</v>
      </c>
      <c r="J358" s="164">
        <f t="shared" si="355"/>
        <v>500000</v>
      </c>
      <c r="K358" s="164">
        <f t="shared" si="355"/>
        <v>500000</v>
      </c>
      <c r="L358" s="132"/>
      <c r="M358" s="132"/>
      <c r="N358" s="132"/>
      <c r="O358" s="111"/>
      <c r="P358" s="111"/>
      <c r="Q358" s="111"/>
      <c r="R358" s="111"/>
      <c r="S358" s="712"/>
      <c r="T358" s="169" t="s">
        <v>946</v>
      </c>
      <c r="U358" s="169" t="s">
        <v>946</v>
      </c>
      <c r="V358" s="121" t="s">
        <v>994</v>
      </c>
      <c r="W358" s="121" t="s">
        <v>789</v>
      </c>
      <c r="X358" s="170">
        <f t="shared" si="352"/>
        <v>500</v>
      </c>
      <c r="Y358" s="200">
        <f t="shared" si="331"/>
        <v>1000</v>
      </c>
      <c r="Z358" s="167">
        <f t="shared" si="332"/>
        <v>500000</v>
      </c>
      <c r="AA358" s="164">
        <f t="shared" si="333"/>
        <v>500</v>
      </c>
      <c r="AB358" s="200">
        <f t="shared" si="334"/>
        <v>1000</v>
      </c>
      <c r="AC358" s="167">
        <f t="shared" si="335"/>
        <v>500000</v>
      </c>
      <c r="AD358" s="164">
        <f t="shared" si="353"/>
        <v>500</v>
      </c>
      <c r="AE358" s="200">
        <f t="shared" si="337"/>
        <v>1000</v>
      </c>
      <c r="AF358" s="167">
        <f t="shared" si="338"/>
        <v>500000</v>
      </c>
      <c r="AG358" s="67"/>
    </row>
    <row r="359" spans="1:33">
      <c r="A359" s="134"/>
      <c r="B359" s="153">
        <v>13</v>
      </c>
      <c r="C359" s="121" t="s">
        <v>1131</v>
      </c>
      <c r="D359" s="121" t="s">
        <v>1132</v>
      </c>
      <c r="E359" s="209"/>
      <c r="F359" s="164">
        <v>2</v>
      </c>
      <c r="G359" s="164">
        <v>1.2</v>
      </c>
      <c r="H359" s="164">
        <f t="shared" si="350"/>
        <v>2.4</v>
      </c>
      <c r="I359" s="164">
        <f t="shared" ref="I359:K359" si="356">$H359*I$345</f>
        <v>600</v>
      </c>
      <c r="J359" s="164">
        <f t="shared" si="356"/>
        <v>600</v>
      </c>
      <c r="K359" s="164">
        <f t="shared" si="356"/>
        <v>600</v>
      </c>
      <c r="L359" s="132"/>
      <c r="M359" s="132"/>
      <c r="N359" s="132"/>
      <c r="O359" s="111"/>
      <c r="P359" s="111"/>
      <c r="Q359" s="111"/>
      <c r="R359" s="111"/>
      <c r="S359" s="712"/>
      <c r="T359" s="169" t="s">
        <v>946</v>
      </c>
      <c r="U359" s="169" t="s">
        <v>946</v>
      </c>
      <c r="V359" s="121" t="s">
        <v>1000</v>
      </c>
      <c r="W359" s="121" t="s">
        <v>789</v>
      </c>
      <c r="X359" s="170">
        <f>G359</f>
        <v>1.2</v>
      </c>
      <c r="Y359" s="200">
        <f t="shared" si="331"/>
        <v>500</v>
      </c>
      <c r="Z359" s="167">
        <f t="shared" si="332"/>
        <v>600</v>
      </c>
      <c r="AA359" s="164">
        <f t="shared" si="333"/>
        <v>1.2</v>
      </c>
      <c r="AB359" s="200">
        <f t="shared" si="334"/>
        <v>500</v>
      </c>
      <c r="AC359" s="167">
        <f t="shared" si="335"/>
        <v>600</v>
      </c>
      <c r="AD359" s="164">
        <f>G359*$D$35*$D$36</f>
        <v>604.79999999999995</v>
      </c>
      <c r="AE359" s="200">
        <f t="shared" si="337"/>
        <v>0.99206349206349209</v>
      </c>
      <c r="AF359" s="167">
        <f t="shared" si="338"/>
        <v>600</v>
      </c>
      <c r="AG359" s="67"/>
    </row>
    <row r="360" spans="1:33">
      <c r="A360" s="134"/>
      <c r="B360" s="153">
        <v>14</v>
      </c>
      <c r="C360" s="121" t="s">
        <v>1001</v>
      </c>
      <c r="D360" s="121"/>
      <c r="E360" s="209"/>
      <c r="F360" s="164"/>
      <c r="G360" s="164"/>
      <c r="H360" s="164">
        <f>SUM(H347:H359)*10%</f>
        <v>613.72902430555553</v>
      </c>
      <c r="I360" s="164">
        <f t="shared" ref="I360:K360" si="357">$H360*I$345</f>
        <v>153432.25607638888</v>
      </c>
      <c r="J360" s="164">
        <f t="shared" si="357"/>
        <v>153432.25607638888</v>
      </c>
      <c r="K360" s="164">
        <f t="shared" si="357"/>
        <v>153432.25607638888</v>
      </c>
      <c r="L360" s="132"/>
      <c r="M360" s="132"/>
      <c r="N360" s="132"/>
      <c r="O360" s="111"/>
      <c r="P360" s="111"/>
      <c r="Q360" s="111"/>
      <c r="R360" s="111"/>
      <c r="S360" s="712"/>
      <c r="T360" s="169" t="s">
        <v>946</v>
      </c>
      <c r="U360" s="169" t="s">
        <v>946</v>
      </c>
      <c r="V360" s="121" t="s">
        <v>875</v>
      </c>
      <c r="W360" s="121" t="s">
        <v>1133</v>
      </c>
      <c r="X360" s="170">
        <f>'Assumptions HR_AUN'!$D$4*3</f>
        <v>88211.039066799218</v>
      </c>
      <c r="Y360" s="200">
        <f t="shared" si="331"/>
        <v>1.7393770405561129</v>
      </c>
      <c r="Z360" s="167">
        <f t="shared" si="332"/>
        <v>153432.25607638888</v>
      </c>
      <c r="AA360" s="164">
        <f t="shared" si="333"/>
        <v>88211.039066799218</v>
      </c>
      <c r="AB360" s="200">
        <f t="shared" si="334"/>
        <v>1.7393770405561129</v>
      </c>
      <c r="AC360" s="167">
        <f t="shared" si="335"/>
        <v>153432.25607638888</v>
      </c>
      <c r="AD360" s="164">
        <f>AA360</f>
        <v>88211.039066799218</v>
      </c>
      <c r="AE360" s="200">
        <f t="shared" si="337"/>
        <v>1.7393770405561129</v>
      </c>
      <c r="AF360" s="167">
        <f t="shared" si="338"/>
        <v>153432.25607638888</v>
      </c>
      <c r="AG360" s="67"/>
    </row>
    <row r="361" spans="1:33">
      <c r="A361" s="134"/>
      <c r="B361" s="153">
        <v>15</v>
      </c>
      <c r="C361" s="121" t="s">
        <v>962</v>
      </c>
      <c r="D361" s="121"/>
      <c r="E361" s="209"/>
      <c r="F361" s="121"/>
      <c r="G361" s="164"/>
      <c r="H361" s="164">
        <f>SUM(H347:H359)*15%</f>
        <v>920.59353645833323</v>
      </c>
      <c r="I361" s="164">
        <f t="shared" ref="I361:K361" si="358">$H361*I$345</f>
        <v>230148.38411458331</v>
      </c>
      <c r="J361" s="164">
        <f t="shared" si="358"/>
        <v>230148.38411458331</v>
      </c>
      <c r="K361" s="164">
        <f t="shared" si="358"/>
        <v>230148.38411458331</v>
      </c>
      <c r="L361" s="132"/>
      <c r="M361" s="132"/>
      <c r="N361" s="132"/>
      <c r="O361" s="111"/>
      <c r="P361" s="111"/>
      <c r="Q361" s="111"/>
      <c r="R361" s="111"/>
      <c r="S361" s="712"/>
      <c r="T361" s="169" t="s">
        <v>946</v>
      </c>
      <c r="U361" s="169" t="s">
        <v>946</v>
      </c>
      <c r="V361" s="121" t="s">
        <v>881</v>
      </c>
      <c r="W361" s="121" t="s">
        <v>964</v>
      </c>
      <c r="X361" s="170">
        <f>I361/4</f>
        <v>57537.096028645828</v>
      </c>
      <c r="Y361" s="200">
        <f t="shared" si="331"/>
        <v>4</v>
      </c>
      <c r="Z361" s="167">
        <f t="shared" si="332"/>
        <v>230148.38411458331</v>
      </c>
      <c r="AA361" s="164">
        <f>J361/4</f>
        <v>57537.096028645828</v>
      </c>
      <c r="AB361" s="200">
        <f t="shared" si="334"/>
        <v>4</v>
      </c>
      <c r="AC361" s="167">
        <f t="shared" si="335"/>
        <v>230148.38411458331</v>
      </c>
      <c r="AD361" s="164">
        <f>K361/4</f>
        <v>57537.096028645828</v>
      </c>
      <c r="AE361" s="200">
        <f t="shared" si="337"/>
        <v>4</v>
      </c>
      <c r="AF361" s="167">
        <f t="shared" si="338"/>
        <v>230148.38411458331</v>
      </c>
      <c r="AG361" s="67"/>
    </row>
    <row r="362" spans="1:33">
      <c r="A362" s="134"/>
      <c r="B362" s="212" t="s">
        <v>770</v>
      </c>
      <c r="C362" s="212"/>
      <c r="D362" s="212"/>
      <c r="E362" s="212"/>
      <c r="F362" s="212"/>
      <c r="G362" s="178"/>
      <c r="H362" s="178">
        <f t="shared" ref="H362:K362" si="359">SUM(H347:H361)</f>
        <v>7671.6128038194438</v>
      </c>
      <c r="I362" s="178">
        <f t="shared" si="359"/>
        <v>1917903.2009548608</v>
      </c>
      <c r="J362" s="178">
        <f t="shared" si="359"/>
        <v>1917903.2009548608</v>
      </c>
      <c r="K362" s="178">
        <f t="shared" si="359"/>
        <v>1917903.2009548608</v>
      </c>
      <c r="L362" s="111"/>
      <c r="M362" s="111"/>
      <c r="N362" s="111"/>
      <c r="O362" s="111"/>
      <c r="P362" s="111"/>
      <c r="Q362" s="111"/>
      <c r="R362" s="111"/>
      <c r="S362" s="712"/>
      <c r="T362" s="151"/>
      <c r="U362" s="151"/>
      <c r="V362" s="111"/>
      <c r="W362" s="111"/>
      <c r="X362" s="111"/>
      <c r="Y362" s="111"/>
      <c r="Z362" s="111"/>
      <c r="AA362" s="111"/>
      <c r="AB362" s="111"/>
      <c r="AC362" s="111"/>
      <c r="AD362" s="111"/>
      <c r="AE362" s="111"/>
      <c r="AF362" s="111"/>
      <c r="AG362" s="67"/>
    </row>
    <row r="363" spans="1:33">
      <c r="A363" s="9"/>
      <c r="B363" s="111"/>
      <c r="C363" s="111"/>
      <c r="D363" s="111"/>
      <c r="E363" s="111"/>
      <c r="F363" s="111"/>
      <c r="G363" s="111"/>
      <c r="H363" s="151"/>
      <c r="I363" s="111"/>
      <c r="J363" s="111"/>
      <c r="K363" s="111"/>
      <c r="L363" s="111"/>
      <c r="M363" s="111"/>
      <c r="N363" s="111"/>
      <c r="O363" s="111"/>
      <c r="P363" s="111"/>
      <c r="Q363" s="111"/>
      <c r="R363" s="111"/>
      <c r="S363" s="712"/>
      <c r="T363" s="111"/>
      <c r="U363" s="111"/>
      <c r="V363" s="111"/>
      <c r="W363" s="111"/>
      <c r="X363" s="111"/>
      <c r="Y363" s="111"/>
      <c r="Z363" s="111"/>
      <c r="AA363" s="111"/>
      <c r="AB363" s="111"/>
      <c r="AC363" s="111"/>
      <c r="AD363" s="111"/>
      <c r="AE363" s="111"/>
      <c r="AF363" s="111"/>
      <c r="AG363" s="67"/>
    </row>
    <row r="364" spans="1:33">
      <c r="A364" s="9"/>
      <c r="B364" s="111"/>
      <c r="C364" s="111"/>
      <c r="D364" s="111"/>
      <c r="E364" s="111"/>
      <c r="F364" s="111"/>
      <c r="G364" s="111"/>
      <c r="H364" s="151"/>
      <c r="I364" s="151"/>
      <c r="J364" s="151"/>
      <c r="K364" s="151"/>
      <c r="L364" s="111"/>
      <c r="M364" s="111"/>
      <c r="N364" s="111"/>
      <c r="O364" s="111"/>
      <c r="P364" s="111"/>
      <c r="Q364" s="111"/>
      <c r="R364" s="111"/>
      <c r="S364" s="712"/>
      <c r="T364" s="111"/>
      <c r="U364" s="111"/>
      <c r="V364" s="111"/>
      <c r="W364" s="111"/>
      <c r="X364" s="111"/>
      <c r="Y364" s="111"/>
      <c r="Z364" s="111"/>
      <c r="AA364" s="111"/>
      <c r="AB364" s="111"/>
      <c r="AC364" s="111"/>
      <c r="AD364" s="111"/>
      <c r="AE364" s="111"/>
      <c r="AF364" s="111"/>
      <c r="AG364" s="67"/>
    </row>
    <row r="365" spans="1:33">
      <c r="A365" s="9"/>
      <c r="B365" s="111"/>
      <c r="C365" s="111"/>
      <c r="D365" s="111"/>
      <c r="E365" s="111"/>
      <c r="F365" s="111"/>
      <c r="G365" s="111"/>
      <c r="H365" s="180"/>
      <c r="I365" s="111"/>
      <c r="J365" s="180"/>
      <c r="K365" s="180"/>
      <c r="L365" s="111"/>
      <c r="M365" s="111"/>
      <c r="N365" s="111"/>
      <c r="O365" s="111"/>
      <c r="P365" s="111"/>
      <c r="Q365" s="111"/>
      <c r="R365" s="111"/>
      <c r="S365" s="712"/>
      <c r="T365" s="111"/>
      <c r="U365" s="111"/>
      <c r="V365" s="111"/>
      <c r="W365" s="111"/>
      <c r="X365" s="132"/>
      <c r="Y365" s="133"/>
      <c r="Z365" s="132"/>
      <c r="AA365" s="132"/>
      <c r="AB365" s="133"/>
      <c r="AC365" s="132"/>
      <c r="AD365" s="132"/>
      <c r="AE365" s="133"/>
      <c r="AF365" s="132"/>
      <c r="AG365" s="67"/>
    </row>
    <row r="366" spans="1:33">
      <c r="A366" s="9"/>
      <c r="B366" s="180"/>
      <c r="C366" s="111"/>
      <c r="D366" s="111"/>
      <c r="E366" s="111"/>
      <c r="F366" s="111"/>
      <c r="G366" s="111"/>
      <c r="H366" s="111"/>
      <c r="I366" s="180" t="s">
        <v>1119</v>
      </c>
      <c r="J366" s="67"/>
      <c r="K366" s="67"/>
      <c r="L366" s="111"/>
      <c r="M366" s="111"/>
      <c r="N366" s="111"/>
      <c r="O366" s="111"/>
      <c r="P366" s="111"/>
      <c r="Q366" s="111"/>
      <c r="R366" s="111"/>
      <c r="S366" s="712"/>
      <c r="T366" s="111"/>
      <c r="U366" s="111"/>
      <c r="V366" s="111"/>
      <c r="W366" s="111"/>
      <c r="X366" s="132"/>
      <c r="Y366" s="133"/>
      <c r="Z366" s="132"/>
      <c r="AA366" s="132"/>
      <c r="AB366" s="133"/>
      <c r="AC366" s="132"/>
      <c r="AD366" s="132"/>
      <c r="AE366" s="133"/>
      <c r="AF366" s="132"/>
      <c r="AG366" s="67"/>
    </row>
    <row r="367" spans="1:33">
      <c r="A367" s="725">
        <v>19</v>
      </c>
      <c r="B367" s="726" t="e" vm="1">
        <f>'[2]AUN Budget'!E84</f>
        <v>#VALUE!</v>
      </c>
      <c r="C367" s="731"/>
      <c r="D367" s="731"/>
      <c r="E367" s="731"/>
      <c r="F367" s="731"/>
      <c r="G367" s="731"/>
      <c r="H367" s="731" t="s">
        <v>1120</v>
      </c>
      <c r="I367" s="121">
        <v>4000</v>
      </c>
      <c r="J367" s="121">
        <v>4000</v>
      </c>
      <c r="K367" s="121">
        <v>4000</v>
      </c>
      <c r="L367" s="111"/>
      <c r="M367" s="111"/>
      <c r="N367" s="111"/>
      <c r="O367" s="111"/>
      <c r="P367" s="111"/>
      <c r="Q367" s="111"/>
      <c r="R367" s="111"/>
      <c r="S367" s="712"/>
      <c r="T367" s="111"/>
      <c r="U367" s="111"/>
      <c r="V367" s="111"/>
      <c r="W367" s="111"/>
      <c r="X367" s="191" t="s">
        <v>1119</v>
      </c>
      <c r="Y367" s="210"/>
      <c r="Z367" s="132"/>
      <c r="AA367" s="132"/>
      <c r="AB367" s="210"/>
      <c r="AC367" s="132"/>
      <c r="AD367" s="132"/>
      <c r="AE367" s="210"/>
      <c r="AF367" s="132"/>
      <c r="AG367" s="67"/>
    </row>
    <row r="368" spans="1:33">
      <c r="A368" s="157" t="s">
        <v>1134</v>
      </c>
      <c r="B368" s="113" t="s">
        <v>755</v>
      </c>
      <c r="C368" s="113" t="s">
        <v>966</v>
      </c>
      <c r="D368" s="113" t="s">
        <v>967</v>
      </c>
      <c r="E368" s="113" t="s">
        <v>968</v>
      </c>
      <c r="F368" s="113" t="s">
        <v>969</v>
      </c>
      <c r="G368" s="113" t="s">
        <v>970</v>
      </c>
      <c r="H368" s="113" t="s">
        <v>971</v>
      </c>
      <c r="I368" s="113" t="s">
        <v>972</v>
      </c>
      <c r="J368" s="113" t="s">
        <v>973</v>
      </c>
      <c r="K368" s="113" t="s">
        <v>974</v>
      </c>
      <c r="L368" s="182"/>
      <c r="M368" s="182"/>
      <c r="N368" s="182"/>
      <c r="O368" s="111"/>
      <c r="P368" s="111"/>
      <c r="Q368" s="111"/>
      <c r="R368" s="111"/>
      <c r="S368" s="712"/>
      <c r="T368" s="159" t="s">
        <v>387</v>
      </c>
      <c r="U368" s="159" t="s">
        <v>388</v>
      </c>
      <c r="V368" s="159" t="s">
        <v>934</v>
      </c>
      <c r="W368" s="160" t="s">
        <v>935</v>
      </c>
      <c r="X368" s="161" t="s">
        <v>936</v>
      </c>
      <c r="Y368" s="162" t="s">
        <v>937</v>
      </c>
      <c r="Z368" s="161" t="s">
        <v>938</v>
      </c>
      <c r="AA368" s="161" t="s">
        <v>939</v>
      </c>
      <c r="AB368" s="162" t="s">
        <v>940</v>
      </c>
      <c r="AC368" s="161" t="s">
        <v>941</v>
      </c>
      <c r="AD368" s="161" t="s">
        <v>942</v>
      </c>
      <c r="AE368" s="162" t="s">
        <v>943</v>
      </c>
      <c r="AF368" s="161" t="s">
        <v>944</v>
      </c>
      <c r="AG368" s="67"/>
    </row>
    <row r="369" spans="1:33">
      <c r="A369" s="134"/>
      <c r="B369" s="153">
        <v>1</v>
      </c>
      <c r="C369" s="121" t="s">
        <v>975</v>
      </c>
      <c r="D369" s="121" t="s">
        <v>1091</v>
      </c>
      <c r="E369" s="209">
        <v>1</v>
      </c>
      <c r="F369" s="164">
        <v>1</v>
      </c>
      <c r="G369" s="164">
        <f>'Assumptions HR_AUN'!$F$8</f>
        <v>80.053187003968247</v>
      </c>
      <c r="H369" s="164">
        <f t="shared" ref="H369:H375" si="360">E369*F369*G369</f>
        <v>80.053187003968247</v>
      </c>
      <c r="I369" s="164">
        <f t="shared" ref="I369:K369" si="361">$H369*I$367</f>
        <v>320212.74801587302</v>
      </c>
      <c r="J369" s="164">
        <f t="shared" si="361"/>
        <v>320212.74801587302</v>
      </c>
      <c r="K369" s="164">
        <f t="shared" si="361"/>
        <v>320212.74801587302</v>
      </c>
      <c r="L369" s="111"/>
      <c r="M369" s="111"/>
      <c r="N369" s="111"/>
      <c r="O369" s="111"/>
      <c r="P369" s="111"/>
      <c r="Q369" s="111"/>
      <c r="R369" s="111"/>
      <c r="S369" s="712"/>
      <c r="T369" s="169" t="s">
        <v>946</v>
      </c>
      <c r="U369" s="169" t="s">
        <v>946</v>
      </c>
      <c r="V369" s="121" t="s">
        <v>977</v>
      </c>
      <c r="W369" s="121" t="s">
        <v>961</v>
      </c>
      <c r="X369" s="170">
        <f t="shared" ref="X369:X375" si="362">G369*$D$35*$D$36</f>
        <v>40346.806249999994</v>
      </c>
      <c r="Y369" s="200">
        <f t="shared" ref="Y369:Y376" si="363">I369/X369</f>
        <v>7.9365079365079376</v>
      </c>
      <c r="Z369" s="167">
        <f t="shared" ref="Z369:Z381" si="364">X369*Y369</f>
        <v>320212.74801587302</v>
      </c>
      <c r="AA369" s="164">
        <f t="shared" ref="AA369:AA375" si="365">G369*$D$35*$D$36</f>
        <v>40346.806249999994</v>
      </c>
      <c r="AB369" s="200">
        <f t="shared" ref="AB369:AB376" si="366">J369/AA369</f>
        <v>7.9365079365079376</v>
      </c>
      <c r="AC369" s="167">
        <f t="shared" ref="AC369:AC381" si="367">AA369*AB369</f>
        <v>320212.74801587302</v>
      </c>
      <c r="AD369" s="164">
        <f t="shared" ref="AD369:AD375" si="368">G369*$D$35*$D$36</f>
        <v>40346.806249999994</v>
      </c>
      <c r="AE369" s="200">
        <f t="shared" ref="AE369:AE376" si="369">K369/AD369</f>
        <v>7.9365079365079376</v>
      </c>
      <c r="AF369" s="167">
        <f t="shared" ref="AF369:AF381" si="370">AD369*AE369</f>
        <v>320212.74801587302</v>
      </c>
      <c r="AG369" s="67"/>
    </row>
    <row r="370" spans="1:33">
      <c r="A370" s="134"/>
      <c r="B370" s="153">
        <v>2</v>
      </c>
      <c r="C370" s="121" t="s">
        <v>1135</v>
      </c>
      <c r="D370" s="121" t="s">
        <v>1136</v>
      </c>
      <c r="E370" s="209">
        <v>0.5</v>
      </c>
      <c r="F370" s="164">
        <v>1</v>
      </c>
      <c r="G370" s="164">
        <f>'Assumptions HR_AUN'!$F$8</f>
        <v>80.053187003968247</v>
      </c>
      <c r="H370" s="164">
        <f t="shared" si="360"/>
        <v>40.026593501984124</v>
      </c>
      <c r="I370" s="164">
        <f t="shared" ref="I370:K370" si="371">$H370*I$367</f>
        <v>160106.37400793651</v>
      </c>
      <c r="J370" s="164">
        <f t="shared" si="371"/>
        <v>160106.37400793651</v>
      </c>
      <c r="K370" s="164">
        <f t="shared" si="371"/>
        <v>160106.37400793651</v>
      </c>
      <c r="L370" s="111"/>
      <c r="M370" s="111"/>
      <c r="N370" s="111"/>
      <c r="O370" s="111"/>
      <c r="P370" s="111"/>
      <c r="Q370" s="111"/>
      <c r="R370" s="111"/>
      <c r="S370" s="712"/>
      <c r="T370" s="169" t="s">
        <v>946</v>
      </c>
      <c r="U370" s="169" t="s">
        <v>946</v>
      </c>
      <c r="V370" s="121" t="s">
        <v>977</v>
      </c>
      <c r="W370" s="121" t="s">
        <v>961</v>
      </c>
      <c r="X370" s="170">
        <f t="shared" si="362"/>
        <v>40346.806249999994</v>
      </c>
      <c r="Y370" s="200">
        <f t="shared" si="363"/>
        <v>3.9682539682539688</v>
      </c>
      <c r="Z370" s="167">
        <f t="shared" si="364"/>
        <v>160106.37400793651</v>
      </c>
      <c r="AA370" s="164">
        <f t="shared" si="365"/>
        <v>40346.806249999994</v>
      </c>
      <c r="AB370" s="200">
        <f t="shared" si="366"/>
        <v>3.9682539682539688</v>
      </c>
      <c r="AC370" s="167">
        <f t="shared" si="367"/>
        <v>160106.37400793651</v>
      </c>
      <c r="AD370" s="164">
        <f t="shared" si="368"/>
        <v>40346.806249999994</v>
      </c>
      <c r="AE370" s="200">
        <f t="shared" si="369"/>
        <v>3.9682539682539688</v>
      </c>
      <c r="AF370" s="167">
        <f t="shared" si="370"/>
        <v>160106.37400793651</v>
      </c>
      <c r="AG370" s="67"/>
    </row>
    <row r="371" spans="1:33">
      <c r="A371" s="134"/>
      <c r="B371" s="153">
        <v>3</v>
      </c>
      <c r="C371" s="121" t="s">
        <v>1122</v>
      </c>
      <c r="D371" s="121" t="s">
        <v>1127</v>
      </c>
      <c r="E371" s="209">
        <v>0.2</v>
      </c>
      <c r="F371" s="164">
        <v>1</v>
      </c>
      <c r="G371" s="164">
        <f>'Assumptions HR_AUN'!$F$8</f>
        <v>80.053187003968247</v>
      </c>
      <c r="H371" s="164">
        <f t="shared" si="360"/>
        <v>16.010637400793652</v>
      </c>
      <c r="I371" s="164">
        <f t="shared" ref="I371:K371" si="372">$H371*I$367</f>
        <v>64042.549603174608</v>
      </c>
      <c r="J371" s="164">
        <f t="shared" si="372"/>
        <v>64042.549603174608</v>
      </c>
      <c r="K371" s="164">
        <f t="shared" si="372"/>
        <v>64042.549603174608</v>
      </c>
      <c r="L371" s="111"/>
      <c r="M371" s="111"/>
      <c r="N371" s="111"/>
      <c r="O371" s="111"/>
      <c r="P371" s="111"/>
      <c r="Q371" s="111"/>
      <c r="R371" s="111"/>
      <c r="S371" s="712"/>
      <c r="T371" s="169" t="s">
        <v>946</v>
      </c>
      <c r="U371" s="169" t="s">
        <v>946</v>
      </c>
      <c r="V371" s="121" t="s">
        <v>977</v>
      </c>
      <c r="W371" s="121" t="s">
        <v>961</v>
      </c>
      <c r="X371" s="170">
        <f t="shared" si="362"/>
        <v>40346.806249999994</v>
      </c>
      <c r="Y371" s="200">
        <f t="shared" si="363"/>
        <v>1.5873015873015877</v>
      </c>
      <c r="Z371" s="167">
        <f t="shared" si="364"/>
        <v>64042.549603174608</v>
      </c>
      <c r="AA371" s="164">
        <f t="shared" si="365"/>
        <v>40346.806249999994</v>
      </c>
      <c r="AB371" s="200">
        <f t="shared" si="366"/>
        <v>1.5873015873015877</v>
      </c>
      <c r="AC371" s="167">
        <f t="shared" si="367"/>
        <v>64042.549603174608</v>
      </c>
      <c r="AD371" s="164">
        <f t="shared" si="368"/>
        <v>40346.806249999994</v>
      </c>
      <c r="AE371" s="200">
        <f t="shared" si="369"/>
        <v>1.5873015873015877</v>
      </c>
      <c r="AF371" s="167">
        <f t="shared" si="370"/>
        <v>64042.549603174608</v>
      </c>
      <c r="AG371" s="67"/>
    </row>
    <row r="372" spans="1:33">
      <c r="A372" s="134"/>
      <c r="B372" s="153">
        <v>4</v>
      </c>
      <c r="C372" s="121" t="s">
        <v>1137</v>
      </c>
      <c r="D372" s="121" t="s">
        <v>1091</v>
      </c>
      <c r="E372" s="209">
        <v>1</v>
      </c>
      <c r="F372" s="164">
        <v>1</v>
      </c>
      <c r="G372" s="164">
        <f>'Assumptions HR_AUN'!$F$8</f>
        <v>80.053187003968247</v>
      </c>
      <c r="H372" s="164">
        <f t="shared" si="360"/>
        <v>80.053187003968247</v>
      </c>
      <c r="I372" s="164">
        <f t="shared" ref="I372:K372" si="373">$H372*I$367</f>
        <v>320212.74801587302</v>
      </c>
      <c r="J372" s="164">
        <f t="shared" si="373"/>
        <v>320212.74801587302</v>
      </c>
      <c r="K372" s="164">
        <f t="shared" si="373"/>
        <v>320212.74801587302</v>
      </c>
      <c r="L372" s="111"/>
      <c r="M372" s="111"/>
      <c r="N372" s="111"/>
      <c r="O372" s="111"/>
      <c r="P372" s="111"/>
      <c r="Q372" s="111"/>
      <c r="R372" s="111"/>
      <c r="S372" s="712"/>
      <c r="T372" s="169" t="s">
        <v>946</v>
      </c>
      <c r="U372" s="169" t="s">
        <v>946</v>
      </c>
      <c r="V372" s="121" t="s">
        <v>977</v>
      </c>
      <c r="W372" s="121" t="s">
        <v>961</v>
      </c>
      <c r="X372" s="170">
        <f t="shared" si="362"/>
        <v>40346.806249999994</v>
      </c>
      <c r="Y372" s="200">
        <f t="shared" si="363"/>
        <v>7.9365079365079376</v>
      </c>
      <c r="Z372" s="167">
        <f t="shared" si="364"/>
        <v>320212.74801587302</v>
      </c>
      <c r="AA372" s="164">
        <f t="shared" si="365"/>
        <v>40346.806249999994</v>
      </c>
      <c r="AB372" s="200">
        <f t="shared" si="366"/>
        <v>7.9365079365079376</v>
      </c>
      <c r="AC372" s="167">
        <f t="shared" si="367"/>
        <v>320212.74801587302</v>
      </c>
      <c r="AD372" s="164">
        <f t="shared" si="368"/>
        <v>40346.806249999994</v>
      </c>
      <c r="AE372" s="200">
        <f t="shared" si="369"/>
        <v>7.9365079365079376</v>
      </c>
      <c r="AF372" s="167">
        <f t="shared" si="370"/>
        <v>320212.74801587302</v>
      </c>
      <c r="AG372" s="67"/>
    </row>
    <row r="373" spans="1:33">
      <c r="A373" s="134"/>
      <c r="B373" s="153">
        <v>5</v>
      </c>
      <c r="C373" s="121" t="s">
        <v>1122</v>
      </c>
      <c r="D373" s="121" t="s">
        <v>1127</v>
      </c>
      <c r="E373" s="209">
        <v>0.2</v>
      </c>
      <c r="F373" s="164">
        <v>1</v>
      </c>
      <c r="G373" s="164">
        <f>'Assumptions HR_AUN'!$F$8</f>
        <v>80.053187003968247</v>
      </c>
      <c r="H373" s="164">
        <f t="shared" si="360"/>
        <v>16.010637400793652</v>
      </c>
      <c r="I373" s="164">
        <f t="shared" ref="I373:K373" si="374">$H373*I$367</f>
        <v>64042.549603174608</v>
      </c>
      <c r="J373" s="164">
        <f t="shared" si="374"/>
        <v>64042.549603174608</v>
      </c>
      <c r="K373" s="164">
        <f t="shared" si="374"/>
        <v>64042.549603174608</v>
      </c>
      <c r="L373" s="111"/>
      <c r="M373" s="111"/>
      <c r="N373" s="111"/>
      <c r="O373" s="111"/>
      <c r="P373" s="111"/>
      <c r="Q373" s="111"/>
      <c r="R373" s="111"/>
      <c r="S373" s="712"/>
      <c r="T373" s="169" t="s">
        <v>946</v>
      </c>
      <c r="U373" s="169" t="s">
        <v>946</v>
      </c>
      <c r="V373" s="121" t="s">
        <v>977</v>
      </c>
      <c r="W373" s="121" t="s">
        <v>961</v>
      </c>
      <c r="X373" s="170">
        <f t="shared" si="362"/>
        <v>40346.806249999994</v>
      </c>
      <c r="Y373" s="200">
        <f t="shared" si="363"/>
        <v>1.5873015873015877</v>
      </c>
      <c r="Z373" s="167">
        <f t="shared" si="364"/>
        <v>64042.549603174608</v>
      </c>
      <c r="AA373" s="164">
        <f t="shared" si="365"/>
        <v>40346.806249999994</v>
      </c>
      <c r="AB373" s="200">
        <f t="shared" si="366"/>
        <v>1.5873015873015877</v>
      </c>
      <c r="AC373" s="167">
        <f t="shared" si="367"/>
        <v>64042.549603174608</v>
      </c>
      <c r="AD373" s="164">
        <f t="shared" si="368"/>
        <v>40346.806249999994</v>
      </c>
      <c r="AE373" s="200">
        <f t="shared" si="369"/>
        <v>1.5873015873015877</v>
      </c>
      <c r="AF373" s="167">
        <f t="shared" si="370"/>
        <v>64042.549603174608</v>
      </c>
      <c r="AG373" s="67"/>
    </row>
    <row r="374" spans="1:33">
      <c r="A374" s="134"/>
      <c r="B374" s="153">
        <v>6</v>
      </c>
      <c r="C374" s="121" t="s">
        <v>1138</v>
      </c>
      <c r="D374" s="121" t="s">
        <v>1091</v>
      </c>
      <c r="E374" s="209">
        <f>0.5*0.85+1*0.25</f>
        <v>0.67500000000000004</v>
      </c>
      <c r="F374" s="164">
        <v>1</v>
      </c>
      <c r="G374" s="164">
        <f>'Assumptions HR_AUN'!$F$8</f>
        <v>80.053187003968247</v>
      </c>
      <c r="H374" s="164">
        <f t="shared" si="360"/>
        <v>54.035901227678572</v>
      </c>
      <c r="I374" s="164">
        <f t="shared" ref="I374:K374" si="375">$H374*I$367</f>
        <v>216143.60491071429</v>
      </c>
      <c r="J374" s="164">
        <f t="shared" si="375"/>
        <v>216143.60491071429</v>
      </c>
      <c r="K374" s="164">
        <f t="shared" si="375"/>
        <v>216143.60491071429</v>
      </c>
      <c r="L374" s="111"/>
      <c r="M374" s="111"/>
      <c r="N374" s="111"/>
      <c r="O374" s="111"/>
      <c r="P374" s="111"/>
      <c r="Q374" s="111"/>
      <c r="R374" s="111"/>
      <c r="S374" s="712"/>
      <c r="T374" s="169" t="s">
        <v>946</v>
      </c>
      <c r="U374" s="169" t="s">
        <v>946</v>
      </c>
      <c r="V374" s="121" t="s">
        <v>977</v>
      </c>
      <c r="W374" s="121" t="s">
        <v>961</v>
      </c>
      <c r="X374" s="170">
        <f t="shared" si="362"/>
        <v>40346.806249999994</v>
      </c>
      <c r="Y374" s="200">
        <f t="shared" si="363"/>
        <v>5.3571428571428577</v>
      </c>
      <c r="Z374" s="167">
        <f t="shared" si="364"/>
        <v>216143.60491071426</v>
      </c>
      <c r="AA374" s="164">
        <f t="shared" si="365"/>
        <v>40346.806249999994</v>
      </c>
      <c r="AB374" s="200">
        <f t="shared" si="366"/>
        <v>5.3571428571428577</v>
      </c>
      <c r="AC374" s="167">
        <f t="shared" si="367"/>
        <v>216143.60491071426</v>
      </c>
      <c r="AD374" s="164">
        <f t="shared" si="368"/>
        <v>40346.806249999994</v>
      </c>
      <c r="AE374" s="200">
        <f t="shared" si="369"/>
        <v>5.3571428571428577</v>
      </c>
      <c r="AF374" s="167">
        <f t="shared" si="370"/>
        <v>216143.60491071426</v>
      </c>
      <c r="AG374" s="67"/>
    </row>
    <row r="375" spans="1:33">
      <c r="A375" s="134"/>
      <c r="B375" s="153">
        <v>7</v>
      </c>
      <c r="C375" s="121" t="s">
        <v>1122</v>
      </c>
      <c r="D375" s="121" t="s">
        <v>1127</v>
      </c>
      <c r="E375" s="209">
        <v>0.2</v>
      </c>
      <c r="F375" s="164">
        <v>1</v>
      </c>
      <c r="G375" s="164">
        <f>'Assumptions HR_AUN'!$F$8</f>
        <v>80.053187003968247</v>
      </c>
      <c r="H375" s="164">
        <f t="shared" si="360"/>
        <v>16.010637400793652</v>
      </c>
      <c r="I375" s="164">
        <f t="shared" ref="I375:K375" si="376">$H375*I$367</f>
        <v>64042.549603174608</v>
      </c>
      <c r="J375" s="164">
        <f t="shared" si="376"/>
        <v>64042.549603174608</v>
      </c>
      <c r="K375" s="164">
        <f t="shared" si="376"/>
        <v>64042.549603174608</v>
      </c>
      <c r="L375" s="111"/>
      <c r="M375" s="111"/>
      <c r="N375" s="111"/>
      <c r="O375" s="111"/>
      <c r="P375" s="111"/>
      <c r="Q375" s="111"/>
      <c r="R375" s="111"/>
      <c r="S375" s="712"/>
      <c r="T375" s="169" t="s">
        <v>946</v>
      </c>
      <c r="U375" s="169" t="s">
        <v>946</v>
      </c>
      <c r="V375" s="121" t="s">
        <v>977</v>
      </c>
      <c r="W375" s="121" t="s">
        <v>961</v>
      </c>
      <c r="X375" s="170">
        <f t="shared" si="362"/>
        <v>40346.806249999994</v>
      </c>
      <c r="Y375" s="200">
        <f t="shared" si="363"/>
        <v>1.5873015873015877</v>
      </c>
      <c r="Z375" s="167">
        <f t="shared" si="364"/>
        <v>64042.549603174608</v>
      </c>
      <c r="AA375" s="164">
        <f t="shared" si="365"/>
        <v>40346.806249999994</v>
      </c>
      <c r="AB375" s="200">
        <f t="shared" si="366"/>
        <v>1.5873015873015877</v>
      </c>
      <c r="AC375" s="167">
        <f t="shared" si="367"/>
        <v>64042.549603174608</v>
      </c>
      <c r="AD375" s="164">
        <f t="shared" si="368"/>
        <v>40346.806249999994</v>
      </c>
      <c r="AE375" s="200">
        <f t="shared" si="369"/>
        <v>1.5873015873015877</v>
      </c>
      <c r="AF375" s="167">
        <f t="shared" si="370"/>
        <v>64042.549603174608</v>
      </c>
      <c r="AG375" s="67"/>
    </row>
    <row r="376" spans="1:33">
      <c r="A376" s="134"/>
      <c r="B376" s="153">
        <v>8</v>
      </c>
      <c r="C376" s="121" t="s">
        <v>987</v>
      </c>
      <c r="D376" s="121" t="s">
        <v>900</v>
      </c>
      <c r="E376" s="209"/>
      <c r="F376" s="164">
        <v>1</v>
      </c>
      <c r="G376" s="164">
        <f>$D$21</f>
        <v>77</v>
      </c>
      <c r="H376" s="164">
        <f t="shared" ref="H376:H377" si="377">F376*G376</f>
        <v>77</v>
      </c>
      <c r="I376" s="164">
        <f t="shared" ref="I376:K376" si="378">$H376*I$367</f>
        <v>308000</v>
      </c>
      <c r="J376" s="164">
        <f t="shared" si="378"/>
        <v>308000</v>
      </c>
      <c r="K376" s="164">
        <f t="shared" si="378"/>
        <v>308000</v>
      </c>
      <c r="L376" s="111"/>
      <c r="M376" s="111"/>
      <c r="N376" s="111"/>
      <c r="O376" s="111"/>
      <c r="P376" s="111"/>
      <c r="Q376" s="111"/>
      <c r="R376" s="111"/>
      <c r="S376" s="712"/>
      <c r="T376" s="169" t="s">
        <v>946</v>
      </c>
      <c r="U376" s="169" t="s">
        <v>946</v>
      </c>
      <c r="V376" s="121" t="s">
        <v>994</v>
      </c>
      <c r="W376" s="121" t="s">
        <v>789</v>
      </c>
      <c r="X376" s="170">
        <f t="shared" ref="X376:X377" si="379">G376</f>
        <v>77</v>
      </c>
      <c r="Y376" s="200">
        <f t="shared" si="363"/>
        <v>4000</v>
      </c>
      <c r="Z376" s="167">
        <f t="shared" si="364"/>
        <v>308000</v>
      </c>
      <c r="AA376" s="164">
        <f t="shared" ref="AA376:AA377" si="380">G376</f>
        <v>77</v>
      </c>
      <c r="AB376" s="200">
        <f t="shared" si="366"/>
        <v>4000</v>
      </c>
      <c r="AC376" s="167">
        <f t="shared" si="367"/>
        <v>308000</v>
      </c>
      <c r="AD376" s="164">
        <f t="shared" ref="AD376:AD377" si="381">G376</f>
        <v>77</v>
      </c>
      <c r="AE376" s="200">
        <f t="shared" si="369"/>
        <v>4000</v>
      </c>
      <c r="AF376" s="167">
        <f t="shared" si="370"/>
        <v>308000</v>
      </c>
      <c r="AG376" s="67"/>
    </row>
    <row r="377" spans="1:33">
      <c r="A377" s="134"/>
      <c r="B377" s="153">
        <v>9</v>
      </c>
      <c r="C377" s="121" t="s">
        <v>987</v>
      </c>
      <c r="D377" s="121" t="s">
        <v>1139</v>
      </c>
      <c r="E377" s="209"/>
      <c r="F377" s="164">
        <v>1</v>
      </c>
      <c r="G377" s="164">
        <v>0</v>
      </c>
      <c r="H377" s="164">
        <f t="shared" si="377"/>
        <v>0</v>
      </c>
      <c r="I377" s="164">
        <f t="shared" ref="I377:K377" si="382">$H377*I$367</f>
        <v>0</v>
      </c>
      <c r="J377" s="164">
        <f t="shared" si="382"/>
        <v>0</v>
      </c>
      <c r="K377" s="164">
        <f t="shared" si="382"/>
        <v>0</v>
      </c>
      <c r="L377" s="111"/>
      <c r="M377" s="111"/>
      <c r="N377" s="111"/>
      <c r="O377" s="111"/>
      <c r="P377" s="111"/>
      <c r="Q377" s="111"/>
      <c r="R377" s="111"/>
      <c r="S377" s="712"/>
      <c r="T377" s="169" t="s">
        <v>946</v>
      </c>
      <c r="U377" s="169" t="s">
        <v>946</v>
      </c>
      <c r="V377" s="121" t="s">
        <v>1140</v>
      </c>
      <c r="W377" s="121" t="s">
        <v>1040</v>
      </c>
      <c r="X377" s="170">
        <f t="shared" si="379"/>
        <v>0</v>
      </c>
      <c r="Y377" s="200"/>
      <c r="Z377" s="167">
        <f t="shared" si="364"/>
        <v>0</v>
      </c>
      <c r="AA377" s="164">
        <f t="shared" si="380"/>
        <v>0</v>
      </c>
      <c r="AB377" s="200"/>
      <c r="AC377" s="167">
        <f t="shared" si="367"/>
        <v>0</v>
      </c>
      <c r="AD377" s="164">
        <f t="shared" si="381"/>
        <v>0</v>
      </c>
      <c r="AE377" s="200"/>
      <c r="AF377" s="167">
        <f t="shared" si="370"/>
        <v>0</v>
      </c>
      <c r="AG377" s="67"/>
    </row>
    <row r="378" spans="1:33">
      <c r="A378" s="134"/>
      <c r="B378" s="153">
        <v>10</v>
      </c>
      <c r="C378" s="121" t="s">
        <v>1141</v>
      </c>
      <c r="D378" s="121" t="s">
        <v>1091</v>
      </c>
      <c r="E378" s="209">
        <v>1</v>
      </c>
      <c r="F378" s="164">
        <v>1</v>
      </c>
      <c r="G378" s="164">
        <f>'Assumptions HR_AUN'!$F$8</f>
        <v>80.053187003968247</v>
      </c>
      <c r="H378" s="164">
        <f t="shared" ref="H378:H379" si="383">E378*F378*G378</f>
        <v>80.053187003968247</v>
      </c>
      <c r="I378" s="164">
        <f t="shared" ref="I378:K378" si="384">$H378*I$367</f>
        <v>320212.74801587302</v>
      </c>
      <c r="J378" s="164">
        <f t="shared" si="384"/>
        <v>320212.74801587302</v>
      </c>
      <c r="K378" s="164">
        <f t="shared" si="384"/>
        <v>320212.74801587302</v>
      </c>
      <c r="L378" s="111"/>
      <c r="M378" s="111"/>
      <c r="N378" s="111"/>
      <c r="O378" s="111"/>
      <c r="P378" s="111"/>
      <c r="Q378" s="111"/>
      <c r="R378" s="111"/>
      <c r="S378" s="712"/>
      <c r="T378" s="169" t="s">
        <v>946</v>
      </c>
      <c r="U378" s="169" t="s">
        <v>946</v>
      </c>
      <c r="V378" s="121" t="s">
        <v>977</v>
      </c>
      <c r="W378" s="121" t="s">
        <v>961</v>
      </c>
      <c r="X378" s="170">
        <f t="shared" ref="X378:X379" si="385">G378*$D$35*$D$36</f>
        <v>40346.806249999994</v>
      </c>
      <c r="Y378" s="200">
        <f t="shared" ref="Y378:Y380" si="386">I378/X378</f>
        <v>7.9365079365079376</v>
      </c>
      <c r="Z378" s="167">
        <f t="shared" si="364"/>
        <v>320212.74801587302</v>
      </c>
      <c r="AA378" s="164">
        <f t="shared" ref="AA378:AA379" si="387">G378*$D$35*$D$36</f>
        <v>40346.806249999994</v>
      </c>
      <c r="AB378" s="200">
        <f t="shared" ref="AB378:AB380" si="388">J378/AA378</f>
        <v>7.9365079365079376</v>
      </c>
      <c r="AC378" s="167">
        <f t="shared" si="367"/>
        <v>320212.74801587302</v>
      </c>
      <c r="AD378" s="164">
        <f t="shared" ref="AD378:AD379" si="389">G378*$D$35*$D$36</f>
        <v>40346.806249999994</v>
      </c>
      <c r="AE378" s="200">
        <f t="shared" ref="AE378:AE380" si="390">K378/AD378</f>
        <v>7.9365079365079376</v>
      </c>
      <c r="AF378" s="167">
        <f t="shared" si="370"/>
        <v>320212.74801587302</v>
      </c>
      <c r="AG378" s="67"/>
    </row>
    <row r="379" spans="1:33">
      <c r="A379" s="134"/>
      <c r="B379" s="153">
        <v>11</v>
      </c>
      <c r="C379" s="121" t="s">
        <v>1122</v>
      </c>
      <c r="D379" s="121" t="s">
        <v>1127</v>
      </c>
      <c r="E379" s="209">
        <v>0.2</v>
      </c>
      <c r="F379" s="164">
        <v>1</v>
      </c>
      <c r="G379" s="164">
        <f>'Assumptions HR_AUN'!$F$8</f>
        <v>80.053187003968247</v>
      </c>
      <c r="H379" s="164">
        <f t="shared" si="383"/>
        <v>16.010637400793652</v>
      </c>
      <c r="I379" s="164">
        <f t="shared" ref="I379:K379" si="391">$H379*I$367</f>
        <v>64042.549603174608</v>
      </c>
      <c r="J379" s="164">
        <f t="shared" si="391"/>
        <v>64042.549603174608</v>
      </c>
      <c r="K379" s="164">
        <f t="shared" si="391"/>
        <v>64042.549603174608</v>
      </c>
      <c r="L379" s="111"/>
      <c r="M379" s="111"/>
      <c r="N379" s="111"/>
      <c r="O379" s="111"/>
      <c r="P379" s="111"/>
      <c r="Q379" s="111"/>
      <c r="R379" s="111"/>
      <c r="S379" s="712"/>
      <c r="T379" s="169" t="s">
        <v>946</v>
      </c>
      <c r="U379" s="169" t="s">
        <v>946</v>
      </c>
      <c r="V379" s="121" t="s">
        <v>977</v>
      </c>
      <c r="W379" s="121" t="s">
        <v>961</v>
      </c>
      <c r="X379" s="170">
        <f t="shared" si="385"/>
        <v>40346.806249999994</v>
      </c>
      <c r="Y379" s="200">
        <f t="shared" si="386"/>
        <v>1.5873015873015877</v>
      </c>
      <c r="Z379" s="167">
        <f t="shared" si="364"/>
        <v>64042.549603174608</v>
      </c>
      <c r="AA379" s="164">
        <f t="shared" si="387"/>
        <v>40346.806249999994</v>
      </c>
      <c r="AB379" s="200">
        <f t="shared" si="388"/>
        <v>1.5873015873015877</v>
      </c>
      <c r="AC379" s="167">
        <f t="shared" si="367"/>
        <v>64042.549603174608</v>
      </c>
      <c r="AD379" s="164">
        <f t="shared" si="389"/>
        <v>40346.806249999994</v>
      </c>
      <c r="AE379" s="200">
        <f t="shared" si="390"/>
        <v>1.5873015873015877</v>
      </c>
      <c r="AF379" s="167">
        <f t="shared" si="370"/>
        <v>64042.549603174608</v>
      </c>
      <c r="AG379" s="67"/>
    </row>
    <row r="380" spans="1:33">
      <c r="A380" s="134"/>
      <c r="B380" s="153">
        <v>12</v>
      </c>
      <c r="C380" s="121" t="s">
        <v>1001</v>
      </c>
      <c r="D380" s="121"/>
      <c r="E380" s="209"/>
      <c r="F380" s="164"/>
      <c r="G380" s="164"/>
      <c r="H380" s="164">
        <f>SUM(H369:H379)*10%</f>
        <v>47.526460534474211</v>
      </c>
      <c r="I380" s="164">
        <f t="shared" ref="I380:K380" si="392">$H380*I$367</f>
        <v>190105.84213789683</v>
      </c>
      <c r="J380" s="164">
        <f t="shared" si="392"/>
        <v>190105.84213789683</v>
      </c>
      <c r="K380" s="164">
        <f t="shared" si="392"/>
        <v>190105.84213789683</v>
      </c>
      <c r="L380" s="111"/>
      <c r="M380" s="111"/>
      <c r="N380" s="111"/>
      <c r="O380" s="111"/>
      <c r="P380" s="111"/>
      <c r="Q380" s="111"/>
      <c r="R380" s="111"/>
      <c r="S380" s="712"/>
      <c r="T380" s="169" t="s">
        <v>946</v>
      </c>
      <c r="U380" s="169" t="s">
        <v>946</v>
      </c>
      <c r="V380" s="121" t="s">
        <v>875</v>
      </c>
      <c r="W380" s="121" t="s">
        <v>1133</v>
      </c>
      <c r="X380" s="170">
        <f>'Assumptions HR_AUN'!$D$4*3</f>
        <v>88211.039066799218</v>
      </c>
      <c r="Y380" s="200">
        <f t="shared" si="386"/>
        <v>2.1551253011988232</v>
      </c>
      <c r="Z380" s="167">
        <f t="shared" si="364"/>
        <v>190105.84213789683</v>
      </c>
      <c r="AA380" s="164">
        <f>'Assumptions HR_AUN'!$D$4*3</f>
        <v>88211.039066799218</v>
      </c>
      <c r="AB380" s="200">
        <f t="shared" si="388"/>
        <v>2.1551253011988232</v>
      </c>
      <c r="AC380" s="167">
        <f t="shared" si="367"/>
        <v>190105.84213789683</v>
      </c>
      <c r="AD380" s="164">
        <f>'Assumptions HR_AUN'!$D$4*3</f>
        <v>88211.039066799218</v>
      </c>
      <c r="AE380" s="200">
        <f t="shared" si="390"/>
        <v>2.1551253011988232</v>
      </c>
      <c r="AF380" s="167">
        <f t="shared" si="370"/>
        <v>190105.84213789683</v>
      </c>
      <c r="AG380" s="67"/>
    </row>
    <row r="381" spans="1:33">
      <c r="A381" s="134"/>
      <c r="B381" s="153">
        <v>13</v>
      </c>
      <c r="C381" s="121" t="s">
        <v>962</v>
      </c>
      <c r="D381" s="121"/>
      <c r="E381" s="209"/>
      <c r="F381" s="153"/>
      <c r="G381" s="164"/>
      <c r="H381" s="164">
        <f>SUM(H369:H379)*15%</f>
        <v>71.289690801711302</v>
      </c>
      <c r="I381" s="164">
        <f t="shared" ref="I381:K381" si="393">$H381*I$367</f>
        <v>285158.76320684521</v>
      </c>
      <c r="J381" s="164">
        <f t="shared" si="393"/>
        <v>285158.76320684521</v>
      </c>
      <c r="K381" s="164">
        <f t="shared" si="393"/>
        <v>285158.76320684521</v>
      </c>
      <c r="L381" s="111"/>
      <c r="M381" s="111"/>
      <c r="N381" s="111"/>
      <c r="O381" s="111"/>
      <c r="P381" s="111"/>
      <c r="Q381" s="111"/>
      <c r="R381" s="111"/>
      <c r="S381" s="712"/>
      <c r="T381" s="169" t="s">
        <v>946</v>
      </c>
      <c r="U381" s="169" t="s">
        <v>946</v>
      </c>
      <c r="V381" s="121" t="s">
        <v>881</v>
      </c>
      <c r="W381" s="121" t="s">
        <v>964</v>
      </c>
      <c r="X381" s="170">
        <f>I381/4</f>
        <v>71289.690801711302</v>
      </c>
      <c r="Y381" s="200">
        <v>4</v>
      </c>
      <c r="Z381" s="167">
        <f t="shared" si="364"/>
        <v>285158.76320684521</v>
      </c>
      <c r="AA381" s="164">
        <f>J381/4</f>
        <v>71289.690801711302</v>
      </c>
      <c r="AB381" s="200">
        <v>4</v>
      </c>
      <c r="AC381" s="167">
        <f t="shared" si="367"/>
        <v>285158.76320684521</v>
      </c>
      <c r="AD381" s="164">
        <f>K381/4</f>
        <v>71289.690801711302</v>
      </c>
      <c r="AE381" s="200">
        <v>4</v>
      </c>
      <c r="AF381" s="167">
        <f t="shared" si="370"/>
        <v>285158.76320684521</v>
      </c>
      <c r="AG381" s="67"/>
    </row>
    <row r="382" spans="1:33">
      <c r="A382" s="134"/>
      <c r="B382" s="212" t="s">
        <v>770</v>
      </c>
      <c r="C382" s="212"/>
      <c r="D382" s="212"/>
      <c r="E382" s="212"/>
      <c r="F382" s="212"/>
      <c r="G382" s="178"/>
      <c r="H382" s="178">
        <f t="shared" ref="H382:K382" si="394">SUM(H369:H381)</f>
        <v>594.08075668092761</v>
      </c>
      <c r="I382" s="178">
        <f t="shared" si="394"/>
        <v>2376323.0267237108</v>
      </c>
      <c r="J382" s="178">
        <f t="shared" si="394"/>
        <v>2376323.0267237108</v>
      </c>
      <c r="K382" s="178">
        <f t="shared" si="394"/>
        <v>2376323.0267237108</v>
      </c>
      <c r="L382" s="111"/>
      <c r="M382" s="111"/>
      <c r="N382" s="111"/>
      <c r="O382" s="111"/>
      <c r="P382" s="111"/>
      <c r="Q382" s="111"/>
      <c r="R382" s="111"/>
      <c r="S382" s="712"/>
      <c r="T382" s="151"/>
      <c r="U382" s="151"/>
      <c r="V382" s="111"/>
      <c r="W382" s="111"/>
      <c r="X382" s="132"/>
      <c r="Y382" s="111"/>
      <c r="Z382" s="111"/>
      <c r="AA382" s="111"/>
      <c r="AB382" s="111"/>
      <c r="AC382" s="111"/>
      <c r="AD382" s="111"/>
      <c r="AE382" s="111"/>
      <c r="AF382" s="111"/>
      <c r="AG382" s="67"/>
    </row>
    <row r="383" spans="1:33">
      <c r="A383" s="9"/>
      <c r="B383" s="111"/>
      <c r="C383" s="111"/>
      <c r="D383" s="111"/>
      <c r="E383" s="111"/>
      <c r="F383" s="111"/>
      <c r="G383" s="111"/>
      <c r="H383" s="151"/>
      <c r="I383" s="111"/>
      <c r="J383" s="111"/>
      <c r="K383" s="111"/>
      <c r="L383" s="111"/>
      <c r="M383" s="111"/>
      <c r="N383" s="111"/>
      <c r="O383" s="111"/>
      <c r="P383" s="111"/>
      <c r="Q383" s="111"/>
      <c r="R383" s="111"/>
      <c r="S383" s="712"/>
      <c r="T383" s="111"/>
      <c r="U383" s="111"/>
      <c r="V383" s="111"/>
      <c r="W383" s="111"/>
      <c r="X383" s="111"/>
      <c r="Y383" s="111"/>
      <c r="Z383" s="111"/>
      <c r="AA383" s="111"/>
      <c r="AB383" s="111"/>
      <c r="AC383" s="111"/>
      <c r="AD383" s="111"/>
      <c r="AE383" s="111"/>
      <c r="AF383" s="111"/>
      <c r="AG383" s="67"/>
    </row>
    <row r="384" spans="1:33">
      <c r="A384" s="9"/>
      <c r="B384" s="111"/>
      <c r="C384" s="111"/>
      <c r="D384" s="111"/>
      <c r="E384" s="111"/>
      <c r="F384" s="111"/>
      <c r="G384" s="111"/>
      <c r="H384" s="151"/>
      <c r="I384" s="67"/>
      <c r="J384" s="67"/>
      <c r="K384" s="67"/>
      <c r="L384" s="111"/>
      <c r="M384" s="111"/>
      <c r="N384" s="111"/>
      <c r="O384" s="111"/>
      <c r="P384" s="111"/>
      <c r="Q384" s="111"/>
      <c r="R384" s="111"/>
      <c r="S384" s="712"/>
      <c r="T384" s="111"/>
      <c r="U384" s="111"/>
      <c r="V384" s="111"/>
      <c r="W384" s="111"/>
      <c r="X384" s="111"/>
      <c r="Y384" s="111"/>
      <c r="Z384" s="111"/>
      <c r="AA384" s="111"/>
      <c r="AB384" s="111"/>
      <c r="AC384" s="111"/>
      <c r="AD384" s="111"/>
      <c r="AE384" s="111"/>
      <c r="AF384" s="111"/>
      <c r="AG384" s="67"/>
    </row>
    <row r="385" spans="1:33">
      <c r="A385" s="9"/>
      <c r="B385" s="111"/>
      <c r="C385" s="111"/>
      <c r="D385" s="111"/>
      <c r="E385" s="111"/>
      <c r="F385" s="111"/>
      <c r="G385" s="111"/>
      <c r="H385" s="111"/>
      <c r="I385" s="67"/>
      <c r="J385" s="67"/>
      <c r="K385" s="67"/>
      <c r="L385" s="111"/>
      <c r="M385" s="111"/>
      <c r="N385" s="111"/>
      <c r="O385" s="111"/>
      <c r="P385" s="111"/>
      <c r="Q385" s="111"/>
      <c r="R385" s="111"/>
      <c r="S385" s="712"/>
      <c r="T385" s="111"/>
      <c r="U385" s="111"/>
      <c r="V385" s="111"/>
      <c r="W385" s="111"/>
      <c r="X385" s="132"/>
      <c r="Y385" s="133"/>
      <c r="Z385" s="132"/>
      <c r="AA385" s="132"/>
      <c r="AB385" s="133"/>
      <c r="AC385" s="132"/>
      <c r="AD385" s="132"/>
      <c r="AE385" s="133"/>
      <c r="AF385" s="132"/>
      <c r="AG385" s="67"/>
    </row>
    <row r="386" spans="1:33">
      <c r="A386" s="725">
        <v>20</v>
      </c>
      <c r="B386" s="726" t="s">
        <v>472</v>
      </c>
      <c r="C386" s="731"/>
      <c r="D386" s="731"/>
      <c r="E386" s="731"/>
      <c r="F386" s="731"/>
      <c r="G386" s="731"/>
      <c r="H386" s="731"/>
      <c r="I386" s="216">
        <v>1260</v>
      </c>
      <c r="J386" s="216">
        <v>1800</v>
      </c>
      <c r="K386" s="216">
        <v>1800</v>
      </c>
      <c r="L386" s="225"/>
      <c r="M386" s="111"/>
      <c r="N386" s="111"/>
      <c r="O386" s="111"/>
      <c r="P386" s="111"/>
      <c r="Q386" s="111"/>
      <c r="R386" s="111"/>
      <c r="S386" s="712"/>
      <c r="T386" s="111"/>
      <c r="U386" s="111"/>
      <c r="V386" s="111"/>
      <c r="W386" s="111"/>
      <c r="X386" s="132"/>
      <c r="Y386" s="133"/>
      <c r="Z386" s="132"/>
      <c r="AA386" s="132"/>
      <c r="AB386" s="133"/>
      <c r="AC386" s="132"/>
      <c r="AD386" s="132"/>
      <c r="AE386" s="133"/>
      <c r="AF386" s="132"/>
      <c r="AG386" s="67"/>
    </row>
    <row r="387" spans="1:33">
      <c r="A387" s="157" t="s">
        <v>24</v>
      </c>
      <c r="B387" s="113" t="s">
        <v>755</v>
      </c>
      <c r="C387" s="113" t="s">
        <v>966</v>
      </c>
      <c r="D387" s="113" t="s">
        <v>967</v>
      </c>
      <c r="E387" s="113" t="s">
        <v>968</v>
      </c>
      <c r="F387" s="113" t="s">
        <v>969</v>
      </c>
      <c r="G387" s="113" t="s">
        <v>970</v>
      </c>
      <c r="H387" s="113" t="s">
        <v>971</v>
      </c>
      <c r="I387" s="113" t="s">
        <v>972</v>
      </c>
      <c r="J387" s="113" t="s">
        <v>973</v>
      </c>
      <c r="K387" s="113" t="s">
        <v>974</v>
      </c>
      <c r="L387" s="111"/>
      <c r="M387" s="111"/>
      <c r="N387" s="111"/>
      <c r="O387" s="111"/>
      <c r="P387" s="182"/>
      <c r="Q387" s="182"/>
      <c r="R387" s="182"/>
      <c r="S387" s="727"/>
      <c r="T387" s="159" t="s">
        <v>387</v>
      </c>
      <c r="U387" s="159" t="s">
        <v>388</v>
      </c>
      <c r="V387" s="159" t="s">
        <v>934</v>
      </c>
      <c r="W387" s="160" t="s">
        <v>935</v>
      </c>
      <c r="X387" s="161" t="s">
        <v>936</v>
      </c>
      <c r="Y387" s="162" t="s">
        <v>937</v>
      </c>
      <c r="Z387" s="161" t="s">
        <v>938</v>
      </c>
      <c r="AA387" s="161" t="s">
        <v>939</v>
      </c>
      <c r="AB387" s="162" t="s">
        <v>940</v>
      </c>
      <c r="AC387" s="161" t="s">
        <v>941</v>
      </c>
      <c r="AD387" s="161" t="s">
        <v>942</v>
      </c>
      <c r="AE387" s="162" t="s">
        <v>943</v>
      </c>
      <c r="AF387" s="161" t="s">
        <v>944</v>
      </c>
      <c r="AG387" s="67"/>
    </row>
    <row r="388" spans="1:33">
      <c r="A388" s="134"/>
      <c r="B388" s="153">
        <v>1</v>
      </c>
      <c r="C388" s="121" t="s">
        <v>1052</v>
      </c>
      <c r="D388" s="121" t="s">
        <v>1142</v>
      </c>
      <c r="E388" s="209">
        <v>1</v>
      </c>
      <c r="F388" s="164">
        <v>1</v>
      </c>
      <c r="G388" s="164">
        <f>'Assumptions HR_AUN'!$F$4</f>
        <v>175.0219029103159</v>
      </c>
      <c r="H388" s="164">
        <f t="shared" ref="H388:H391" si="395">E388*F388*G388</f>
        <v>175.0219029103159</v>
      </c>
      <c r="I388" s="164">
        <f t="shared" ref="I388:K388" si="396">$H388*I$386</f>
        <v>220527.59766699804</v>
      </c>
      <c r="J388" s="164">
        <f t="shared" si="396"/>
        <v>315039.42523856863</v>
      </c>
      <c r="K388" s="164">
        <f t="shared" si="396"/>
        <v>315039.42523856863</v>
      </c>
      <c r="L388" s="111"/>
      <c r="M388" s="111"/>
      <c r="N388" s="111"/>
      <c r="O388" s="111"/>
      <c r="P388" s="111"/>
      <c r="Q388" s="111"/>
      <c r="R388" s="111"/>
      <c r="S388" s="712"/>
      <c r="T388" s="169" t="e">
        <f>'[2]AUN Budget'!#REF!</f>
        <v>#REF!</v>
      </c>
      <c r="U388" s="169" t="e">
        <f>'[2]AUN Budget'!#REF!</f>
        <v>#REF!</v>
      </c>
      <c r="V388" s="121" t="s">
        <v>991</v>
      </c>
      <c r="W388" s="121" t="s">
        <v>961</v>
      </c>
      <c r="X388" s="170">
        <f>'Assumptions HR_AUN'!$F$4*'Assumptions Other_AUN'!$D$35*'Assumptions Other_AUN'!$D$36</f>
        <v>88211.039066799218</v>
      </c>
      <c r="Y388" s="200">
        <f t="shared" ref="Y388:Y402" si="397">I388/X388</f>
        <v>2.5</v>
      </c>
      <c r="Z388" s="167">
        <f t="shared" ref="Z388:Z402" si="398">X388*Y388</f>
        <v>220527.59766699804</v>
      </c>
      <c r="AA388" s="164">
        <f t="shared" ref="AA388:AA401" si="399">X388</f>
        <v>88211.039066799218</v>
      </c>
      <c r="AB388" s="200">
        <f t="shared" ref="AB388:AB402" si="400">J388/AA388</f>
        <v>3.5714285714285712</v>
      </c>
      <c r="AC388" s="167">
        <f t="shared" ref="AC388:AC402" si="401">AA388*AB388</f>
        <v>315039.42523856863</v>
      </c>
      <c r="AD388" s="164">
        <f t="shared" ref="AD388:AD402" si="402">AA388</f>
        <v>88211.039066799218</v>
      </c>
      <c r="AE388" s="200">
        <f t="shared" ref="AE388:AE402" si="403">K388/AD388</f>
        <v>3.5714285714285712</v>
      </c>
      <c r="AF388" s="167">
        <f t="shared" ref="AF388:AF402" si="404">AD388*AE388</f>
        <v>315039.42523856863</v>
      </c>
      <c r="AG388" s="67"/>
    </row>
    <row r="389" spans="1:33">
      <c r="A389" s="134"/>
      <c r="B389" s="153">
        <v>2</v>
      </c>
      <c r="C389" s="121" t="s">
        <v>978</v>
      </c>
      <c r="D389" s="121" t="s">
        <v>1143</v>
      </c>
      <c r="E389" s="209">
        <v>0.5</v>
      </c>
      <c r="F389" s="164">
        <v>3</v>
      </c>
      <c r="G389" s="164">
        <f>'Assumptions HR_AUN'!$F$8</f>
        <v>80.053187003968247</v>
      </c>
      <c r="H389" s="164">
        <f t="shared" si="395"/>
        <v>120.07978050595237</v>
      </c>
      <c r="I389" s="164">
        <f t="shared" ref="I389:K389" si="405">$H389*I$386</f>
        <v>151300.5234375</v>
      </c>
      <c r="J389" s="164">
        <f t="shared" si="405"/>
        <v>216143.60491071426</v>
      </c>
      <c r="K389" s="164">
        <f t="shared" si="405"/>
        <v>216143.60491071426</v>
      </c>
      <c r="L389" s="111"/>
      <c r="M389" s="111"/>
      <c r="N389" s="111"/>
      <c r="O389" s="111"/>
      <c r="P389" s="111"/>
      <c r="Q389" s="111"/>
      <c r="R389" s="111"/>
      <c r="S389" s="712"/>
      <c r="T389" s="169" t="e">
        <f>'[2]AUN Budget'!#REF!</f>
        <v>#REF!</v>
      </c>
      <c r="U389" s="169" t="e">
        <f>'[2]AUN Budget'!#REF!</f>
        <v>#REF!</v>
      </c>
      <c r="V389" s="121" t="s">
        <v>977</v>
      </c>
      <c r="W389" s="121" t="s">
        <v>961</v>
      </c>
      <c r="X389" s="170">
        <f>G389*$D$35*$D$36</f>
        <v>40346.806249999994</v>
      </c>
      <c r="Y389" s="200">
        <f t="shared" si="397"/>
        <v>3.7500000000000004</v>
      </c>
      <c r="Z389" s="167">
        <f t="shared" si="398"/>
        <v>151300.5234375</v>
      </c>
      <c r="AA389" s="164">
        <f t="shared" si="399"/>
        <v>40346.806249999994</v>
      </c>
      <c r="AB389" s="200">
        <f t="shared" si="400"/>
        <v>5.3571428571428577</v>
      </c>
      <c r="AC389" s="167">
        <f t="shared" si="401"/>
        <v>216143.60491071426</v>
      </c>
      <c r="AD389" s="164">
        <f t="shared" si="402"/>
        <v>40346.806249999994</v>
      </c>
      <c r="AE389" s="200">
        <f t="shared" si="403"/>
        <v>5.3571428571428577</v>
      </c>
      <c r="AF389" s="167">
        <f t="shared" si="404"/>
        <v>216143.60491071426</v>
      </c>
      <c r="AG389" s="67"/>
    </row>
    <row r="390" spans="1:33">
      <c r="A390" s="134"/>
      <c r="B390" s="153">
        <v>3</v>
      </c>
      <c r="C390" s="121" t="s">
        <v>1052</v>
      </c>
      <c r="D390" s="121" t="s">
        <v>1144</v>
      </c>
      <c r="E390" s="209">
        <v>2.5</v>
      </c>
      <c r="F390" s="164">
        <v>0.9</v>
      </c>
      <c r="G390" s="164">
        <f>'Assumptions HR_AUN'!$F$8</f>
        <v>80.053187003968247</v>
      </c>
      <c r="H390" s="164">
        <f t="shared" si="395"/>
        <v>180.11967075892855</v>
      </c>
      <c r="I390" s="164">
        <f t="shared" ref="I390:K390" si="406">$H390*I$386</f>
        <v>226950.78515624997</v>
      </c>
      <c r="J390" s="164">
        <f t="shared" si="406"/>
        <v>324215.40736607136</v>
      </c>
      <c r="K390" s="164">
        <f t="shared" si="406"/>
        <v>324215.40736607136</v>
      </c>
      <c r="L390" s="111"/>
      <c r="M390" s="111"/>
      <c r="N390" s="111"/>
      <c r="O390" s="111"/>
      <c r="P390" s="111"/>
      <c r="Q390" s="111"/>
      <c r="R390" s="111"/>
      <c r="S390" s="712"/>
      <c r="T390" s="169" t="e">
        <f>'[2]AUN Budget'!#REF!</f>
        <v>#REF!</v>
      </c>
      <c r="U390" s="169" t="e">
        <f>'[2]AUN Budget'!#REF!</f>
        <v>#REF!</v>
      </c>
      <c r="V390" s="121" t="s">
        <v>991</v>
      </c>
      <c r="W390" s="121" t="s">
        <v>961</v>
      </c>
      <c r="X390" s="170">
        <f>'Assumptions HR_AUN'!$F$4*'Assumptions Other_AUN'!$D$35*'Assumptions Other_AUN'!$D$36</f>
        <v>88211.039066799218</v>
      </c>
      <c r="Y390" s="200">
        <f t="shared" si="397"/>
        <v>2.5728161413492461</v>
      </c>
      <c r="Z390" s="167">
        <f t="shared" si="398"/>
        <v>226950.78515624997</v>
      </c>
      <c r="AA390" s="164">
        <f t="shared" si="399"/>
        <v>88211.039066799218</v>
      </c>
      <c r="AB390" s="200">
        <f t="shared" si="400"/>
        <v>3.6754516304989227</v>
      </c>
      <c r="AC390" s="167">
        <f t="shared" si="401"/>
        <v>324215.40736607136</v>
      </c>
      <c r="AD390" s="164">
        <f t="shared" si="402"/>
        <v>88211.039066799218</v>
      </c>
      <c r="AE390" s="200">
        <f t="shared" si="403"/>
        <v>3.6754516304989227</v>
      </c>
      <c r="AF390" s="167">
        <f t="shared" si="404"/>
        <v>324215.40736607136</v>
      </c>
      <c r="AG390" s="67"/>
    </row>
    <row r="391" spans="1:33">
      <c r="A391" s="134"/>
      <c r="B391" s="153">
        <v>4</v>
      </c>
      <c r="C391" s="121" t="s">
        <v>978</v>
      </c>
      <c r="D391" s="121" t="s">
        <v>1145</v>
      </c>
      <c r="E391" s="209">
        <v>1</v>
      </c>
      <c r="F391" s="164">
        <v>1</v>
      </c>
      <c r="G391" s="164">
        <f>'Assumptions HR_AUN'!$F$8</f>
        <v>80.053187003968247</v>
      </c>
      <c r="H391" s="164">
        <f t="shared" si="395"/>
        <v>80.053187003968247</v>
      </c>
      <c r="I391" s="164">
        <f t="shared" ref="I391:K391" si="407">$H391*I$386</f>
        <v>100867.01562499999</v>
      </c>
      <c r="J391" s="164">
        <f t="shared" si="407"/>
        <v>144095.73660714284</v>
      </c>
      <c r="K391" s="164">
        <f t="shared" si="407"/>
        <v>144095.73660714284</v>
      </c>
      <c r="L391" s="111"/>
      <c r="M391" s="111"/>
      <c r="N391" s="111"/>
      <c r="O391" s="111"/>
      <c r="P391" s="111"/>
      <c r="Q391" s="111"/>
      <c r="R391" s="111"/>
      <c r="S391" s="712"/>
      <c r="T391" s="169" t="e">
        <f>'[2]AUN Budget'!#REF!</f>
        <v>#REF!</v>
      </c>
      <c r="U391" s="169" t="e">
        <f>'[2]AUN Budget'!#REF!</f>
        <v>#REF!</v>
      </c>
      <c r="V391" s="121" t="s">
        <v>977</v>
      </c>
      <c r="W391" s="121" t="s">
        <v>961</v>
      </c>
      <c r="X391" s="170">
        <f>G391*$D$35*$D$36</f>
        <v>40346.806249999994</v>
      </c>
      <c r="Y391" s="200">
        <f t="shared" si="397"/>
        <v>2.5</v>
      </c>
      <c r="Z391" s="167">
        <f t="shared" si="398"/>
        <v>100867.01562499999</v>
      </c>
      <c r="AA391" s="164">
        <f t="shared" si="399"/>
        <v>40346.806249999994</v>
      </c>
      <c r="AB391" s="200">
        <f t="shared" si="400"/>
        <v>3.5714285714285716</v>
      </c>
      <c r="AC391" s="167">
        <f t="shared" si="401"/>
        <v>144095.73660714284</v>
      </c>
      <c r="AD391" s="164">
        <f t="shared" si="402"/>
        <v>40346.806249999994</v>
      </c>
      <c r="AE391" s="200">
        <f t="shared" si="403"/>
        <v>3.5714285714285716</v>
      </c>
      <c r="AF391" s="167">
        <f t="shared" si="404"/>
        <v>144095.73660714284</v>
      </c>
      <c r="AG391" s="67"/>
    </row>
    <row r="392" spans="1:33">
      <c r="A392" s="134"/>
      <c r="B392" s="153">
        <v>5</v>
      </c>
      <c r="C392" s="121" t="s">
        <v>987</v>
      </c>
      <c r="D392" s="121" t="s">
        <v>1146</v>
      </c>
      <c r="E392" s="209"/>
      <c r="F392" s="164">
        <f>F390*80%</f>
        <v>0.72000000000000008</v>
      </c>
      <c r="G392" s="164">
        <f>$D$19</f>
        <v>244</v>
      </c>
      <c r="H392" s="164">
        <f>F392*G392</f>
        <v>175.68</v>
      </c>
      <c r="I392" s="164">
        <f t="shared" ref="I392:K392" si="408">$H392*I$386</f>
        <v>221356.80000000002</v>
      </c>
      <c r="J392" s="164">
        <f t="shared" si="408"/>
        <v>316224</v>
      </c>
      <c r="K392" s="164">
        <f t="shared" si="408"/>
        <v>316224</v>
      </c>
      <c r="L392" s="111"/>
      <c r="M392" s="111"/>
      <c r="N392" s="111"/>
      <c r="O392" s="111"/>
      <c r="P392" s="111"/>
      <c r="Q392" s="111"/>
      <c r="R392" s="111"/>
      <c r="S392" s="712"/>
      <c r="T392" s="169" t="e">
        <f>'[2]AUN Budget'!#REF!</f>
        <v>#REF!</v>
      </c>
      <c r="U392" s="169" t="e">
        <f>'[2]AUN Budget'!#REF!</f>
        <v>#REF!</v>
      </c>
      <c r="V392" s="121" t="s">
        <v>989</v>
      </c>
      <c r="W392" s="121" t="s">
        <v>789</v>
      </c>
      <c r="X392" s="170">
        <f>G392</f>
        <v>244</v>
      </c>
      <c r="Y392" s="200">
        <f t="shared" si="397"/>
        <v>907.2</v>
      </c>
      <c r="Z392" s="167">
        <f t="shared" si="398"/>
        <v>221356.80000000002</v>
      </c>
      <c r="AA392" s="164">
        <f t="shared" si="399"/>
        <v>244</v>
      </c>
      <c r="AB392" s="200">
        <f t="shared" si="400"/>
        <v>1296</v>
      </c>
      <c r="AC392" s="167">
        <f t="shared" si="401"/>
        <v>316224</v>
      </c>
      <c r="AD392" s="164">
        <f t="shared" si="402"/>
        <v>244</v>
      </c>
      <c r="AE392" s="200">
        <f t="shared" si="403"/>
        <v>1296</v>
      </c>
      <c r="AF392" s="167">
        <f t="shared" si="404"/>
        <v>316224</v>
      </c>
      <c r="AG392" s="67"/>
    </row>
    <row r="393" spans="1:33">
      <c r="A393" s="134"/>
      <c r="B393" s="153">
        <v>6</v>
      </c>
      <c r="C393" s="121" t="s">
        <v>978</v>
      </c>
      <c r="D393" s="121" t="s">
        <v>1147</v>
      </c>
      <c r="E393" s="209">
        <v>0.5</v>
      </c>
      <c r="F393" s="164">
        <v>1</v>
      </c>
      <c r="G393" s="164">
        <f>'Assumptions HR_AUN'!$F$8</f>
        <v>80.053187003968247</v>
      </c>
      <c r="H393" s="164">
        <f t="shared" ref="H393:H394" si="409">E393*F393*G393</f>
        <v>40.026593501984124</v>
      </c>
      <c r="I393" s="164">
        <f t="shared" ref="I393:K393" si="410">$H393*I$386</f>
        <v>50433.507812499993</v>
      </c>
      <c r="J393" s="164">
        <f t="shared" si="410"/>
        <v>72047.86830357142</v>
      </c>
      <c r="K393" s="164">
        <f t="shared" si="410"/>
        <v>72047.86830357142</v>
      </c>
      <c r="L393" s="111"/>
      <c r="M393" s="111"/>
      <c r="N393" s="111"/>
      <c r="O393" s="111"/>
      <c r="P393" s="111"/>
      <c r="Q393" s="111"/>
      <c r="R393" s="111"/>
      <c r="S393" s="712"/>
      <c r="T393" s="169" t="e">
        <f>'[2]AUN Budget'!#REF!</f>
        <v>#REF!</v>
      </c>
      <c r="U393" s="169" t="e">
        <f>'[2]AUN Budget'!#REF!</f>
        <v>#REF!</v>
      </c>
      <c r="V393" s="121" t="s">
        <v>977</v>
      </c>
      <c r="W393" s="121" t="s">
        <v>961</v>
      </c>
      <c r="X393" s="170">
        <f t="shared" ref="X393:X394" si="411">G393*$D$35*$D$36</f>
        <v>40346.806249999994</v>
      </c>
      <c r="Y393" s="200">
        <f t="shared" si="397"/>
        <v>1.25</v>
      </c>
      <c r="Z393" s="167">
        <f t="shared" si="398"/>
        <v>50433.507812499993</v>
      </c>
      <c r="AA393" s="164">
        <f t="shared" si="399"/>
        <v>40346.806249999994</v>
      </c>
      <c r="AB393" s="200">
        <f t="shared" si="400"/>
        <v>1.7857142857142858</v>
      </c>
      <c r="AC393" s="167">
        <f t="shared" si="401"/>
        <v>72047.86830357142</v>
      </c>
      <c r="AD393" s="164">
        <f t="shared" si="402"/>
        <v>40346.806249999994</v>
      </c>
      <c r="AE393" s="200">
        <f t="shared" si="403"/>
        <v>1.7857142857142858</v>
      </c>
      <c r="AF393" s="167">
        <f t="shared" si="404"/>
        <v>72047.86830357142</v>
      </c>
      <c r="AG393" s="67"/>
    </row>
    <row r="394" spans="1:33">
      <c r="A394" s="134"/>
      <c r="B394" s="153">
        <v>7</v>
      </c>
      <c r="C394" s="121" t="s">
        <v>978</v>
      </c>
      <c r="D394" s="121" t="s">
        <v>1148</v>
      </c>
      <c r="E394" s="209">
        <v>0.5</v>
      </c>
      <c r="F394" s="164">
        <v>1</v>
      </c>
      <c r="G394" s="164">
        <f>'Assumptions HR_AUN'!$F$8</f>
        <v>80.053187003968247</v>
      </c>
      <c r="H394" s="164">
        <f t="shared" si="409"/>
        <v>40.026593501984124</v>
      </c>
      <c r="I394" s="164">
        <f t="shared" ref="I394:K394" si="412">$H394*I$386</f>
        <v>50433.507812499993</v>
      </c>
      <c r="J394" s="164">
        <f t="shared" si="412"/>
        <v>72047.86830357142</v>
      </c>
      <c r="K394" s="164">
        <f t="shared" si="412"/>
        <v>72047.86830357142</v>
      </c>
      <c r="L394" s="111"/>
      <c r="M394" s="111"/>
      <c r="N394" s="111"/>
      <c r="O394" s="111"/>
      <c r="P394" s="111"/>
      <c r="Q394" s="111"/>
      <c r="R394" s="111"/>
      <c r="S394" s="712"/>
      <c r="T394" s="169" t="e">
        <f>'[2]AUN Budget'!#REF!</f>
        <v>#REF!</v>
      </c>
      <c r="U394" s="169" t="e">
        <f>'[2]AUN Budget'!#REF!</f>
        <v>#REF!</v>
      </c>
      <c r="V394" s="121" t="s">
        <v>977</v>
      </c>
      <c r="W394" s="121" t="s">
        <v>961</v>
      </c>
      <c r="X394" s="170">
        <f t="shared" si="411"/>
        <v>40346.806249999994</v>
      </c>
      <c r="Y394" s="200">
        <f t="shared" si="397"/>
        <v>1.25</v>
      </c>
      <c r="Z394" s="167">
        <f t="shared" si="398"/>
        <v>50433.507812499993</v>
      </c>
      <c r="AA394" s="164">
        <f t="shared" si="399"/>
        <v>40346.806249999994</v>
      </c>
      <c r="AB394" s="200">
        <f t="shared" si="400"/>
        <v>1.7857142857142858</v>
      </c>
      <c r="AC394" s="167">
        <f t="shared" si="401"/>
        <v>72047.86830357142</v>
      </c>
      <c r="AD394" s="164">
        <f t="shared" si="402"/>
        <v>40346.806249999994</v>
      </c>
      <c r="AE394" s="200">
        <f t="shared" si="403"/>
        <v>1.7857142857142858</v>
      </c>
      <c r="AF394" s="167">
        <f t="shared" si="404"/>
        <v>72047.86830357142</v>
      </c>
      <c r="AG394" s="67"/>
    </row>
    <row r="395" spans="1:33">
      <c r="A395" s="134"/>
      <c r="B395" s="153">
        <v>8</v>
      </c>
      <c r="C395" s="121" t="s">
        <v>987</v>
      </c>
      <c r="D395" s="121" t="s">
        <v>1149</v>
      </c>
      <c r="E395" s="209"/>
      <c r="F395" s="164">
        <f>F392*2*80%</f>
        <v>1.1520000000000001</v>
      </c>
      <c r="G395" s="164">
        <v>200</v>
      </c>
      <c r="H395" s="164">
        <f t="shared" ref="H395:H396" si="413">F395*G395</f>
        <v>230.40000000000003</v>
      </c>
      <c r="I395" s="164">
        <f t="shared" ref="I395:K395" si="414">$H395*I$386</f>
        <v>290304.00000000006</v>
      </c>
      <c r="J395" s="164">
        <f t="shared" si="414"/>
        <v>414720.00000000006</v>
      </c>
      <c r="K395" s="164">
        <f t="shared" si="414"/>
        <v>414720.00000000006</v>
      </c>
      <c r="L395" s="111"/>
      <c r="M395" s="111"/>
      <c r="N395" s="111"/>
      <c r="O395" s="111"/>
      <c r="P395" s="111"/>
      <c r="Q395" s="111"/>
      <c r="R395" s="111"/>
      <c r="S395" s="712"/>
      <c r="T395" s="169" t="e">
        <f>'[2]AUN Budget'!#REF!</f>
        <v>#REF!</v>
      </c>
      <c r="U395" s="169" t="e">
        <f>'[2]AUN Budget'!#REF!</f>
        <v>#REF!</v>
      </c>
      <c r="V395" s="121" t="s">
        <v>1150</v>
      </c>
      <c r="W395" s="121" t="s">
        <v>1151</v>
      </c>
      <c r="X395" s="170">
        <f>G395/4</f>
        <v>50</v>
      </c>
      <c r="Y395" s="200">
        <f t="shared" si="397"/>
        <v>5806.0800000000008</v>
      </c>
      <c r="Z395" s="167">
        <f t="shared" si="398"/>
        <v>290304.00000000006</v>
      </c>
      <c r="AA395" s="164">
        <f t="shared" si="399"/>
        <v>50</v>
      </c>
      <c r="AB395" s="200">
        <f t="shared" si="400"/>
        <v>8294.4000000000015</v>
      </c>
      <c r="AC395" s="167">
        <f t="shared" si="401"/>
        <v>414720.00000000006</v>
      </c>
      <c r="AD395" s="164">
        <f t="shared" si="402"/>
        <v>50</v>
      </c>
      <c r="AE395" s="200">
        <f t="shared" si="403"/>
        <v>8294.4000000000015</v>
      </c>
      <c r="AF395" s="167">
        <f t="shared" si="404"/>
        <v>414720.00000000006</v>
      </c>
      <c r="AG395" s="67"/>
    </row>
    <row r="396" spans="1:33">
      <c r="A396" s="134"/>
      <c r="B396" s="153">
        <v>9</v>
      </c>
      <c r="C396" s="121" t="s">
        <v>985</v>
      </c>
      <c r="D396" s="121" t="s">
        <v>1152</v>
      </c>
      <c r="E396" s="209"/>
      <c r="F396" s="164">
        <f>F395*0.6</f>
        <v>0.69120000000000004</v>
      </c>
      <c r="G396" s="164">
        <f>$D$32</f>
        <v>60</v>
      </c>
      <c r="H396" s="164">
        <f t="shared" si="413"/>
        <v>41.472000000000001</v>
      </c>
      <c r="I396" s="164">
        <f t="shared" ref="I396:K396" si="415">$H396*I$386</f>
        <v>52254.720000000001</v>
      </c>
      <c r="J396" s="164">
        <f t="shared" si="415"/>
        <v>74649.600000000006</v>
      </c>
      <c r="K396" s="164">
        <f t="shared" si="415"/>
        <v>74649.600000000006</v>
      </c>
      <c r="L396" s="111"/>
      <c r="M396" s="111"/>
      <c r="N396" s="111"/>
      <c r="O396" s="111"/>
      <c r="P396" s="111"/>
      <c r="Q396" s="111"/>
      <c r="R396" s="111"/>
      <c r="S396" s="712"/>
      <c r="T396" s="169" t="e">
        <f>'[2]AUN Budget'!#REF!</f>
        <v>#REF!</v>
      </c>
      <c r="U396" s="169" t="e">
        <f>'[2]AUN Budget'!#REF!</f>
        <v>#REF!</v>
      </c>
      <c r="V396" s="121" t="s">
        <v>957</v>
      </c>
      <c r="W396" s="121" t="s">
        <v>789</v>
      </c>
      <c r="X396" s="170">
        <f>G396</f>
        <v>60</v>
      </c>
      <c r="Y396" s="200">
        <f t="shared" si="397"/>
        <v>870.91200000000003</v>
      </c>
      <c r="Z396" s="167">
        <f t="shared" si="398"/>
        <v>52254.720000000001</v>
      </c>
      <c r="AA396" s="164">
        <f t="shared" si="399"/>
        <v>60</v>
      </c>
      <c r="AB396" s="200">
        <f t="shared" si="400"/>
        <v>1244.1600000000001</v>
      </c>
      <c r="AC396" s="167">
        <f t="shared" si="401"/>
        <v>74649.600000000006</v>
      </c>
      <c r="AD396" s="164">
        <f t="shared" si="402"/>
        <v>60</v>
      </c>
      <c r="AE396" s="200">
        <f t="shared" si="403"/>
        <v>1244.1600000000001</v>
      </c>
      <c r="AF396" s="167">
        <f t="shared" si="404"/>
        <v>74649.600000000006</v>
      </c>
      <c r="AG396" s="67"/>
    </row>
    <row r="397" spans="1:33">
      <c r="A397" s="134"/>
      <c r="B397" s="153">
        <v>10</v>
      </c>
      <c r="C397" s="121" t="s">
        <v>1052</v>
      </c>
      <c r="D397" s="121" t="s">
        <v>1153</v>
      </c>
      <c r="E397" s="209">
        <v>0.5</v>
      </c>
      <c r="F397" s="164">
        <f>F395*0.2</f>
        <v>0.23040000000000005</v>
      </c>
      <c r="G397" s="164">
        <f>'Assumptions HR_AUN'!$F$4</f>
        <v>175.0219029103159</v>
      </c>
      <c r="H397" s="164">
        <f t="shared" ref="H397:H399" si="416">E397*F397*G397</f>
        <v>20.162523215268397</v>
      </c>
      <c r="I397" s="164">
        <f t="shared" ref="I397:K397" si="417">$H397*I$386</f>
        <v>25404.779251238182</v>
      </c>
      <c r="J397" s="164">
        <f t="shared" si="417"/>
        <v>36292.541787483118</v>
      </c>
      <c r="K397" s="164">
        <f t="shared" si="417"/>
        <v>36292.541787483118</v>
      </c>
      <c r="L397" s="111"/>
      <c r="M397" s="111"/>
      <c r="N397" s="111"/>
      <c r="O397" s="111"/>
      <c r="P397" s="111"/>
      <c r="Q397" s="111"/>
      <c r="R397" s="111"/>
      <c r="S397" s="712"/>
      <c r="T397" s="169" t="e">
        <f>'[2]AUN Budget'!#REF!</f>
        <v>#REF!</v>
      </c>
      <c r="U397" s="169" t="e">
        <f>'[2]AUN Budget'!#REF!</f>
        <v>#REF!</v>
      </c>
      <c r="V397" s="121" t="s">
        <v>991</v>
      </c>
      <c r="W397" s="121" t="s">
        <v>961</v>
      </c>
      <c r="X397" s="170">
        <f>'Assumptions HR_AUN'!$F$4*'Assumptions Other_AUN'!$D$35*'Assumptions Other_AUN'!$D$36</f>
        <v>88211.039066799218</v>
      </c>
      <c r="Y397" s="200">
        <f t="shared" si="397"/>
        <v>0.28800000000000009</v>
      </c>
      <c r="Z397" s="167">
        <f t="shared" si="398"/>
        <v>25404.779251238182</v>
      </c>
      <c r="AA397" s="164">
        <f t="shared" si="399"/>
        <v>88211.039066799218</v>
      </c>
      <c r="AB397" s="200">
        <f t="shared" si="400"/>
        <v>0.41142857142857153</v>
      </c>
      <c r="AC397" s="167">
        <f t="shared" si="401"/>
        <v>36292.541787483118</v>
      </c>
      <c r="AD397" s="164">
        <f t="shared" si="402"/>
        <v>88211.039066799218</v>
      </c>
      <c r="AE397" s="200">
        <f t="shared" si="403"/>
        <v>0.41142857142857153</v>
      </c>
      <c r="AF397" s="167">
        <f t="shared" si="404"/>
        <v>36292.541787483118</v>
      </c>
      <c r="AG397" s="67"/>
    </row>
    <row r="398" spans="1:33">
      <c r="A398" s="134"/>
      <c r="B398" s="153">
        <v>11</v>
      </c>
      <c r="C398" s="121" t="s">
        <v>978</v>
      </c>
      <c r="D398" s="121" t="s">
        <v>1154</v>
      </c>
      <c r="E398" s="209">
        <v>2.5</v>
      </c>
      <c r="F398" s="164">
        <f>F397*0.5</f>
        <v>0.11520000000000002</v>
      </c>
      <c r="G398" s="164">
        <f>'Assumptions HR_AUN'!$F$8</f>
        <v>80.053187003968247</v>
      </c>
      <c r="H398" s="164">
        <f t="shared" si="416"/>
        <v>23.055317857142857</v>
      </c>
      <c r="I398" s="164">
        <f t="shared" ref="I398:K398" si="418">$H398*I$386</f>
        <v>29049.700499999999</v>
      </c>
      <c r="J398" s="164">
        <f t="shared" si="418"/>
        <v>41499.572142857141</v>
      </c>
      <c r="K398" s="164">
        <f t="shared" si="418"/>
        <v>41499.572142857141</v>
      </c>
      <c r="L398" s="111"/>
      <c r="M398" s="111"/>
      <c r="N398" s="111"/>
      <c r="O398" s="111"/>
      <c r="P398" s="111"/>
      <c r="Q398" s="111"/>
      <c r="R398" s="111"/>
      <c r="S398" s="712"/>
      <c r="T398" s="169" t="e">
        <f>'[2]AUN Budget'!#REF!</f>
        <v>#REF!</v>
      </c>
      <c r="U398" s="169" t="e">
        <f>'[2]AUN Budget'!#REF!</f>
        <v>#REF!</v>
      </c>
      <c r="V398" s="121" t="s">
        <v>977</v>
      </c>
      <c r="W398" s="121" t="s">
        <v>961</v>
      </c>
      <c r="X398" s="170">
        <f>G398*$D$35*$D$36</f>
        <v>40346.806249999994</v>
      </c>
      <c r="Y398" s="200">
        <f t="shared" si="397"/>
        <v>0.72000000000000008</v>
      </c>
      <c r="Z398" s="167">
        <f t="shared" si="398"/>
        <v>29049.700499999999</v>
      </c>
      <c r="AA398" s="164">
        <f t="shared" si="399"/>
        <v>40346.806249999994</v>
      </c>
      <c r="AB398" s="200">
        <f t="shared" si="400"/>
        <v>1.0285714285714287</v>
      </c>
      <c r="AC398" s="167">
        <f t="shared" si="401"/>
        <v>41499.572142857141</v>
      </c>
      <c r="AD398" s="164">
        <f t="shared" si="402"/>
        <v>40346.806249999994</v>
      </c>
      <c r="AE398" s="200">
        <f t="shared" si="403"/>
        <v>1.0285714285714287</v>
      </c>
      <c r="AF398" s="167">
        <f t="shared" si="404"/>
        <v>41499.572142857141</v>
      </c>
      <c r="AG398" s="67"/>
    </row>
    <row r="399" spans="1:33">
      <c r="A399" s="134"/>
      <c r="B399" s="153">
        <v>12</v>
      </c>
      <c r="C399" s="121" t="s">
        <v>1052</v>
      </c>
      <c r="D399" s="121" t="s">
        <v>1155</v>
      </c>
      <c r="E399" s="209">
        <v>2.5</v>
      </c>
      <c r="F399" s="164">
        <f>F397*0.9</f>
        <v>0.20736000000000004</v>
      </c>
      <c r="G399" s="164">
        <f>'Assumptions HR_AUN'!$F$8</f>
        <v>80.053187003968247</v>
      </c>
      <c r="H399" s="164">
        <f t="shared" si="416"/>
        <v>41.499572142857147</v>
      </c>
      <c r="I399" s="164">
        <f t="shared" ref="I399:K399" si="419">$H399*I$386</f>
        <v>52289.460900000005</v>
      </c>
      <c r="J399" s="164">
        <f t="shared" si="419"/>
        <v>74699.229857142869</v>
      </c>
      <c r="K399" s="164">
        <f t="shared" si="419"/>
        <v>74699.229857142869</v>
      </c>
      <c r="L399" s="111"/>
      <c r="M399" s="111"/>
      <c r="N399" s="111"/>
      <c r="O399" s="111"/>
      <c r="P399" s="111"/>
      <c r="Q399" s="111"/>
      <c r="R399" s="111"/>
      <c r="S399" s="712"/>
      <c r="T399" s="169" t="e">
        <f>'[2]AUN Budget'!#REF!</f>
        <v>#REF!</v>
      </c>
      <c r="U399" s="169" t="e">
        <f>'[2]AUN Budget'!#REF!</f>
        <v>#REF!</v>
      </c>
      <c r="V399" s="121" t="s">
        <v>991</v>
      </c>
      <c r="W399" s="121" t="s">
        <v>961</v>
      </c>
      <c r="X399" s="170">
        <f>'Assumptions HR_AUN'!$F$4*'Assumptions Other_AUN'!$D$35*'Assumptions Other_AUN'!$D$36</f>
        <v>88211.039066799218</v>
      </c>
      <c r="Y399" s="200">
        <f t="shared" si="397"/>
        <v>0.5927768389668665</v>
      </c>
      <c r="Z399" s="167">
        <f t="shared" si="398"/>
        <v>52289.460900000013</v>
      </c>
      <c r="AA399" s="164">
        <f t="shared" si="399"/>
        <v>88211.039066799218</v>
      </c>
      <c r="AB399" s="200">
        <f t="shared" si="400"/>
        <v>0.84682405566695207</v>
      </c>
      <c r="AC399" s="167">
        <f t="shared" si="401"/>
        <v>74699.229857142869</v>
      </c>
      <c r="AD399" s="164">
        <f t="shared" si="402"/>
        <v>88211.039066799218</v>
      </c>
      <c r="AE399" s="200">
        <f t="shared" si="403"/>
        <v>0.84682405566695207</v>
      </c>
      <c r="AF399" s="167">
        <f t="shared" si="404"/>
        <v>74699.229857142869</v>
      </c>
      <c r="AG399" s="67"/>
    </row>
    <row r="400" spans="1:33">
      <c r="A400" s="134"/>
      <c r="B400" s="153">
        <v>13</v>
      </c>
      <c r="C400" s="121" t="s">
        <v>987</v>
      </c>
      <c r="D400" s="121" t="s">
        <v>1156</v>
      </c>
      <c r="E400" s="209"/>
      <c r="F400" s="164">
        <f>F399</f>
        <v>0.20736000000000004</v>
      </c>
      <c r="G400" s="164">
        <f>$D$19</f>
        <v>244</v>
      </c>
      <c r="H400" s="164">
        <f>F400*G400</f>
        <v>50.59584000000001</v>
      </c>
      <c r="I400" s="164">
        <f t="shared" ref="I400:K400" si="420">$H400*I$386</f>
        <v>63750.758400000013</v>
      </c>
      <c r="J400" s="164">
        <f t="shared" si="420"/>
        <v>91072.512000000017</v>
      </c>
      <c r="K400" s="164">
        <f t="shared" si="420"/>
        <v>91072.512000000017</v>
      </c>
      <c r="L400" s="111"/>
      <c r="M400" s="111"/>
      <c r="N400" s="111"/>
      <c r="O400" s="111"/>
      <c r="P400" s="111"/>
      <c r="Q400" s="111"/>
      <c r="R400" s="111"/>
      <c r="S400" s="712"/>
      <c r="T400" s="169" t="e">
        <f>'[2]AUN Budget'!#REF!</f>
        <v>#REF!</v>
      </c>
      <c r="U400" s="169" t="e">
        <f>'[2]AUN Budget'!#REF!</f>
        <v>#REF!</v>
      </c>
      <c r="V400" s="121" t="s">
        <v>989</v>
      </c>
      <c r="W400" s="121" t="s">
        <v>789</v>
      </c>
      <c r="X400" s="170">
        <f>G400</f>
        <v>244</v>
      </c>
      <c r="Y400" s="200">
        <f t="shared" si="397"/>
        <v>261.27360000000004</v>
      </c>
      <c r="Z400" s="167">
        <f t="shared" si="398"/>
        <v>63750.758400000013</v>
      </c>
      <c r="AA400" s="164">
        <f t="shared" si="399"/>
        <v>244</v>
      </c>
      <c r="AB400" s="200">
        <f t="shared" si="400"/>
        <v>373.24800000000005</v>
      </c>
      <c r="AC400" s="167">
        <f t="shared" si="401"/>
        <v>91072.512000000017</v>
      </c>
      <c r="AD400" s="164">
        <f t="shared" si="402"/>
        <v>244</v>
      </c>
      <c r="AE400" s="200">
        <f t="shared" si="403"/>
        <v>373.24800000000005</v>
      </c>
      <c r="AF400" s="167">
        <f t="shared" si="404"/>
        <v>91072.512000000017</v>
      </c>
      <c r="AG400" s="67"/>
    </row>
    <row r="401" spans="1:33">
      <c r="A401" s="134"/>
      <c r="B401" s="153">
        <v>14</v>
      </c>
      <c r="C401" s="121" t="s">
        <v>1001</v>
      </c>
      <c r="D401" s="121"/>
      <c r="E401" s="209"/>
      <c r="F401" s="164"/>
      <c r="G401" s="185">
        <f>$C$13</f>
        <v>0.1</v>
      </c>
      <c r="H401" s="164">
        <f>SUM(H388:H400)*G401</f>
        <v>121.81929813984021</v>
      </c>
      <c r="I401" s="164">
        <f t="shared" ref="I401:K401" si="421">$H401*I$386</f>
        <v>153492.31565619868</v>
      </c>
      <c r="J401" s="164">
        <f t="shared" si="421"/>
        <v>219274.73665171239</v>
      </c>
      <c r="K401" s="164">
        <f t="shared" si="421"/>
        <v>219274.73665171239</v>
      </c>
      <c r="L401" s="111"/>
      <c r="M401" s="111"/>
      <c r="N401" s="111"/>
      <c r="O401" s="111"/>
      <c r="P401" s="111"/>
      <c r="Q401" s="111"/>
      <c r="R401" s="111"/>
      <c r="S401" s="712"/>
      <c r="T401" s="169" t="e">
        <f>'[2]AUN Budget'!#REF!</f>
        <v>#REF!</v>
      </c>
      <c r="U401" s="169" t="e">
        <f>'[2]AUN Budget'!#REF!</f>
        <v>#REF!</v>
      </c>
      <c r="V401" s="121" t="s">
        <v>875</v>
      </c>
      <c r="W401" s="121" t="s">
        <v>961</v>
      </c>
      <c r="X401" s="170">
        <f>'Assumptions HR_AUN'!$D$4*3</f>
        <v>88211.039066799218</v>
      </c>
      <c r="Y401" s="200">
        <f t="shared" si="397"/>
        <v>1.740057902956615</v>
      </c>
      <c r="Z401" s="167">
        <f t="shared" si="398"/>
        <v>153492.31565619868</v>
      </c>
      <c r="AA401" s="164">
        <f t="shared" si="399"/>
        <v>88211.039066799218</v>
      </c>
      <c r="AB401" s="200">
        <f t="shared" si="400"/>
        <v>2.4857970042237354</v>
      </c>
      <c r="AC401" s="167">
        <f t="shared" si="401"/>
        <v>219274.73665171239</v>
      </c>
      <c r="AD401" s="164">
        <f t="shared" si="402"/>
        <v>88211.039066799218</v>
      </c>
      <c r="AE401" s="200">
        <f t="shared" si="403"/>
        <v>2.4857970042237354</v>
      </c>
      <c r="AF401" s="167">
        <f t="shared" si="404"/>
        <v>219274.73665171239</v>
      </c>
      <c r="AG401" s="67"/>
    </row>
    <row r="402" spans="1:33">
      <c r="A402" s="134"/>
      <c r="B402" s="153">
        <v>15</v>
      </c>
      <c r="C402" s="121" t="s">
        <v>962</v>
      </c>
      <c r="D402" s="121"/>
      <c r="E402" s="209"/>
      <c r="F402" s="121"/>
      <c r="G402" s="185">
        <f>$C$14</f>
        <v>0.15</v>
      </c>
      <c r="H402" s="164">
        <f>SUM(H388:H400)*G402</f>
        <v>182.72894720976029</v>
      </c>
      <c r="I402" s="164">
        <f t="shared" ref="I402:K402" si="422">$H402*I$386</f>
        <v>230238.47348429798</v>
      </c>
      <c r="J402" s="164">
        <f t="shared" si="422"/>
        <v>328912.10497756855</v>
      </c>
      <c r="K402" s="164">
        <f t="shared" si="422"/>
        <v>328912.10497756855</v>
      </c>
      <c r="L402" s="111"/>
      <c r="M402" s="111"/>
      <c r="N402" s="111"/>
      <c r="O402" s="111"/>
      <c r="P402" s="111"/>
      <c r="Q402" s="111"/>
      <c r="R402" s="111"/>
      <c r="S402" s="712"/>
      <c r="T402" s="169" t="e">
        <f>'[2]AUN Budget'!#REF!</f>
        <v>#REF!</v>
      </c>
      <c r="U402" s="169" t="e">
        <f>'[2]AUN Budget'!#REF!</f>
        <v>#REF!</v>
      </c>
      <c r="V402" s="121" t="s">
        <v>881</v>
      </c>
      <c r="W402" s="121" t="s">
        <v>964</v>
      </c>
      <c r="X402" s="170">
        <f>I402/4</f>
        <v>57559.618371074495</v>
      </c>
      <c r="Y402" s="200">
        <f t="shared" si="397"/>
        <v>4</v>
      </c>
      <c r="Z402" s="167">
        <f t="shared" si="398"/>
        <v>230238.47348429798</v>
      </c>
      <c r="AA402" s="164">
        <f>J402/4</f>
        <v>82228.026244392138</v>
      </c>
      <c r="AB402" s="200">
        <f t="shared" si="400"/>
        <v>4</v>
      </c>
      <c r="AC402" s="167">
        <f t="shared" si="401"/>
        <v>328912.10497756855</v>
      </c>
      <c r="AD402" s="164">
        <f t="shared" si="402"/>
        <v>82228.026244392138</v>
      </c>
      <c r="AE402" s="200">
        <f t="shared" si="403"/>
        <v>4</v>
      </c>
      <c r="AF402" s="167">
        <f t="shared" si="404"/>
        <v>328912.10497756855</v>
      </c>
      <c r="AG402" s="67"/>
    </row>
    <row r="403" spans="1:33">
      <c r="A403" s="134"/>
      <c r="B403" s="212" t="s">
        <v>770</v>
      </c>
      <c r="C403" s="212"/>
      <c r="D403" s="212"/>
      <c r="E403" s="212"/>
      <c r="F403" s="212"/>
      <c r="G403" s="178"/>
      <c r="H403" s="178">
        <f t="shared" ref="H403:K403" si="423">SUM(H388:H402)</f>
        <v>1522.7412267480024</v>
      </c>
      <c r="I403" s="178">
        <f t="shared" si="423"/>
        <v>1918653.9457024829</v>
      </c>
      <c r="J403" s="178">
        <f t="shared" si="423"/>
        <v>2740934.208146404</v>
      </c>
      <c r="K403" s="178">
        <f t="shared" si="423"/>
        <v>2740934.208146404</v>
      </c>
      <c r="L403" s="111"/>
      <c r="M403" s="111"/>
      <c r="N403" s="111"/>
      <c r="O403" s="111"/>
      <c r="P403" s="111"/>
      <c r="Q403" s="111"/>
      <c r="R403" s="111"/>
      <c r="S403" s="712"/>
      <c r="T403" s="111"/>
      <c r="U403" s="111"/>
      <c r="V403" s="111"/>
      <c r="W403" s="111"/>
      <c r="X403" s="132"/>
      <c r="Y403" s="133"/>
      <c r="Z403" s="132"/>
      <c r="AA403" s="132"/>
      <c r="AB403" s="133"/>
      <c r="AC403" s="132"/>
      <c r="AD403" s="132"/>
      <c r="AE403" s="133"/>
      <c r="AF403" s="132"/>
      <c r="AG403" s="67"/>
    </row>
    <row r="404" spans="1:33">
      <c r="A404" s="9"/>
      <c r="B404" s="111"/>
      <c r="C404" s="111"/>
      <c r="D404" s="111"/>
      <c r="E404" s="111"/>
      <c r="F404" s="111"/>
      <c r="G404" s="111"/>
      <c r="H404" s="132"/>
      <c r="I404" s="132"/>
      <c r="J404" s="132"/>
      <c r="K404" s="132"/>
      <c r="L404" s="111"/>
      <c r="M404" s="111"/>
      <c r="N404" s="111"/>
      <c r="O404" s="111"/>
      <c r="P404" s="111"/>
      <c r="Q404" s="111"/>
      <c r="R404" s="111"/>
      <c r="S404" s="712"/>
      <c r="T404" s="111"/>
      <c r="U404" s="111"/>
      <c r="V404" s="111"/>
      <c r="W404" s="111"/>
      <c r="X404" s="111"/>
      <c r="Y404" s="111"/>
      <c r="Z404" s="111"/>
      <c r="AA404" s="111"/>
      <c r="AB404" s="111"/>
      <c r="AC404" s="111"/>
      <c r="AD404" s="111"/>
      <c r="AE404" s="111"/>
      <c r="AF404" s="111"/>
      <c r="AG404" s="67"/>
    </row>
    <row r="405" spans="1:33">
      <c r="A405" s="9"/>
      <c r="B405" s="111"/>
      <c r="C405" s="111"/>
      <c r="D405" s="111"/>
      <c r="E405" s="111"/>
      <c r="F405" s="111"/>
      <c r="G405" s="111"/>
      <c r="H405" s="151"/>
      <c r="I405" s="111"/>
      <c r="J405" s="111"/>
      <c r="K405" s="111"/>
      <c r="L405" s="111"/>
      <c r="M405" s="111"/>
      <c r="N405" s="111"/>
      <c r="O405" s="111"/>
      <c r="P405" s="111"/>
      <c r="Q405" s="111"/>
      <c r="R405" s="111"/>
      <c r="S405" s="712"/>
      <c r="T405" s="111"/>
      <c r="U405" s="111"/>
      <c r="V405" s="111"/>
      <c r="W405" s="111"/>
      <c r="X405" s="111"/>
      <c r="Y405" s="111"/>
      <c r="Z405" s="111"/>
      <c r="AA405" s="111"/>
      <c r="AB405" s="111"/>
      <c r="AC405" s="111"/>
      <c r="AD405" s="111"/>
      <c r="AE405" s="111"/>
      <c r="AF405" s="111"/>
      <c r="AG405" s="67"/>
    </row>
    <row r="406" spans="1:33">
      <c r="A406" s="9"/>
      <c r="B406" s="111"/>
      <c r="C406" s="111"/>
      <c r="D406" s="111"/>
      <c r="E406" s="111"/>
      <c r="F406" s="111"/>
      <c r="G406" s="111"/>
      <c r="H406" s="111"/>
      <c r="I406" s="67"/>
      <c r="J406" s="67"/>
      <c r="K406" s="67"/>
      <c r="L406" s="111"/>
      <c r="M406" s="111"/>
      <c r="N406" s="111"/>
      <c r="O406" s="111"/>
      <c r="P406" s="111"/>
      <c r="Q406" s="111"/>
      <c r="R406" s="111"/>
      <c r="S406" s="712"/>
      <c r="T406" s="111"/>
      <c r="U406" s="111"/>
      <c r="V406" s="111"/>
      <c r="W406" s="111"/>
      <c r="X406" s="132"/>
      <c r="Y406" s="133"/>
      <c r="Z406" s="132"/>
      <c r="AA406" s="132"/>
      <c r="AB406" s="133"/>
      <c r="AC406" s="132"/>
      <c r="AD406" s="132"/>
      <c r="AE406" s="133"/>
      <c r="AF406" s="132"/>
      <c r="AG406" s="67"/>
    </row>
    <row r="407" spans="1:33">
      <c r="A407" s="9"/>
      <c r="B407" s="111"/>
      <c r="C407" s="111"/>
      <c r="D407" s="111"/>
      <c r="E407" s="111"/>
      <c r="F407" s="111"/>
      <c r="G407" s="111"/>
      <c r="H407" s="111"/>
      <c r="I407" s="67"/>
      <c r="J407" s="67"/>
      <c r="K407" s="67"/>
      <c r="L407" s="111"/>
      <c r="M407" s="111"/>
      <c r="N407" s="111"/>
      <c r="O407" s="111"/>
      <c r="P407" s="111"/>
      <c r="Q407" s="111"/>
      <c r="R407" s="111"/>
      <c r="S407" s="712"/>
      <c r="T407" s="111"/>
      <c r="U407" s="111"/>
      <c r="V407" s="111"/>
      <c r="W407" s="111"/>
      <c r="X407" s="132"/>
      <c r="Y407" s="133"/>
      <c r="Z407" s="132"/>
      <c r="AA407" s="132"/>
      <c r="AB407" s="133"/>
      <c r="AC407" s="132"/>
      <c r="AD407" s="132"/>
      <c r="AE407" s="133"/>
      <c r="AF407" s="132"/>
      <c r="AG407" s="67"/>
    </row>
    <row r="408" spans="1:33">
      <c r="A408" s="725">
        <v>21</v>
      </c>
      <c r="B408" s="726" t="e">
        <f>'[2]AUN Budget'!#REF!</f>
        <v>#REF!</v>
      </c>
      <c r="C408" s="731"/>
      <c r="D408" s="731"/>
      <c r="E408" s="731"/>
      <c r="F408" s="731"/>
      <c r="G408" s="731"/>
      <c r="H408" s="731"/>
      <c r="I408" s="216">
        <v>7000</v>
      </c>
      <c r="J408" s="216">
        <v>12000</v>
      </c>
      <c r="K408" s="216">
        <v>5000</v>
      </c>
      <c r="L408" s="111"/>
      <c r="M408" s="111"/>
      <c r="N408" s="111"/>
      <c r="O408" s="111"/>
      <c r="P408" s="111"/>
      <c r="Q408" s="111"/>
      <c r="R408" s="111"/>
      <c r="S408" s="712"/>
      <c r="T408" s="111"/>
      <c r="U408" s="111"/>
      <c r="V408" s="111"/>
      <c r="W408" s="111"/>
      <c r="X408" s="132"/>
      <c r="Y408" s="133"/>
      <c r="Z408" s="132"/>
      <c r="AA408" s="132"/>
      <c r="AB408" s="133"/>
      <c r="AC408" s="132"/>
      <c r="AD408" s="132"/>
      <c r="AE408" s="133"/>
      <c r="AF408" s="132"/>
      <c r="AG408" s="67"/>
    </row>
    <row r="409" spans="1:33">
      <c r="A409" s="157"/>
      <c r="B409" s="113" t="s">
        <v>755</v>
      </c>
      <c r="C409" s="113" t="s">
        <v>966</v>
      </c>
      <c r="D409" s="113" t="s">
        <v>967</v>
      </c>
      <c r="E409" s="113" t="s">
        <v>968</v>
      </c>
      <c r="F409" s="113" t="s">
        <v>969</v>
      </c>
      <c r="G409" s="113" t="s">
        <v>970</v>
      </c>
      <c r="H409" s="113" t="s">
        <v>971</v>
      </c>
      <c r="I409" s="113" t="s">
        <v>972</v>
      </c>
      <c r="J409" s="113" t="s">
        <v>973</v>
      </c>
      <c r="K409" s="113" t="s">
        <v>974</v>
      </c>
      <c r="L409" s="111"/>
      <c r="M409" s="111"/>
      <c r="N409" s="111"/>
      <c r="O409" s="182"/>
      <c r="P409" s="182"/>
      <c r="Q409" s="182"/>
      <c r="R409" s="182"/>
      <c r="S409" s="727"/>
      <c r="T409" s="159" t="s">
        <v>387</v>
      </c>
      <c r="U409" s="159" t="s">
        <v>388</v>
      </c>
      <c r="V409" s="159" t="s">
        <v>934</v>
      </c>
      <c r="W409" s="160" t="s">
        <v>935</v>
      </c>
      <c r="X409" s="161" t="s">
        <v>936</v>
      </c>
      <c r="Y409" s="162" t="s">
        <v>937</v>
      </c>
      <c r="Z409" s="161" t="s">
        <v>938</v>
      </c>
      <c r="AA409" s="161" t="s">
        <v>939</v>
      </c>
      <c r="AB409" s="162" t="s">
        <v>940</v>
      </c>
      <c r="AC409" s="161" t="s">
        <v>941</v>
      </c>
      <c r="AD409" s="161" t="s">
        <v>942</v>
      </c>
      <c r="AE409" s="162" t="s">
        <v>943</v>
      </c>
      <c r="AF409" s="161" t="s">
        <v>944</v>
      </c>
      <c r="AG409" s="67"/>
    </row>
    <row r="410" spans="1:33">
      <c r="A410" s="134"/>
      <c r="B410" s="153">
        <v>1</v>
      </c>
      <c r="C410" s="121" t="s">
        <v>978</v>
      </c>
      <c r="D410" s="174" t="s">
        <v>1157</v>
      </c>
      <c r="E410" s="209">
        <v>0.5</v>
      </c>
      <c r="F410" s="164">
        <v>5</v>
      </c>
      <c r="G410" s="164">
        <f>'Assumptions HR_AUN'!$F$4</f>
        <v>175.0219029103159</v>
      </c>
      <c r="H410" s="164">
        <f>E410*F410*G410</f>
        <v>437.55475727578977</v>
      </c>
      <c r="I410" s="164">
        <f t="shared" ref="I410:K410" si="424">$H410*I$408</f>
        <v>3062883.3009305284</v>
      </c>
      <c r="J410" s="164">
        <f t="shared" si="424"/>
        <v>5250657.0873094769</v>
      </c>
      <c r="K410" s="164">
        <f t="shared" si="424"/>
        <v>2187773.7863789489</v>
      </c>
      <c r="L410" s="111"/>
      <c r="M410" s="111"/>
      <c r="N410" s="111"/>
      <c r="O410" s="111"/>
      <c r="P410" s="111"/>
      <c r="Q410" s="111"/>
      <c r="R410" s="111"/>
      <c r="S410" s="712"/>
      <c r="T410" s="169" t="e">
        <f>'[2]AUN Budget'!#REF!</f>
        <v>#REF!</v>
      </c>
      <c r="U410" s="169" t="e">
        <f>'[2]AUN Budget'!#REF!</f>
        <v>#REF!</v>
      </c>
      <c r="V410" s="121" t="s">
        <v>848</v>
      </c>
      <c r="W410" s="164" t="s">
        <v>947</v>
      </c>
      <c r="X410" s="170">
        <f>G410*$D$35*$D$36/20</f>
        <v>4410.5519533399611</v>
      </c>
      <c r="Y410" s="200">
        <f t="shared" ref="Y410:Y416" si="425">I410/X410</f>
        <v>694.44444444444446</v>
      </c>
      <c r="Z410" s="167">
        <f t="shared" ref="Z410:Z416" si="426">X410*Y410</f>
        <v>3062883.3009305284</v>
      </c>
      <c r="AA410" s="164">
        <f t="shared" ref="AA410:AA415" si="427">X410</f>
        <v>4410.5519533399611</v>
      </c>
      <c r="AB410" s="200">
        <f t="shared" ref="AB410:AB416" si="428">J410/AA410</f>
        <v>1190.4761904761904</v>
      </c>
      <c r="AC410" s="167">
        <f t="shared" ref="AC410:AC416" si="429">AA410*AB410</f>
        <v>5250657.0873094769</v>
      </c>
      <c r="AD410" s="164">
        <f t="shared" ref="AD410:AD415" si="430">AA410</f>
        <v>4410.5519533399611</v>
      </c>
      <c r="AE410" s="200">
        <f t="shared" ref="AE410:AE416" si="431">K410/AD410</f>
        <v>496.03174603174602</v>
      </c>
      <c r="AF410" s="167">
        <f t="shared" ref="AF410:AF416" si="432">AD410*AE410</f>
        <v>2187773.7863789489</v>
      </c>
      <c r="AG410" s="67"/>
    </row>
    <row r="411" spans="1:33">
      <c r="A411" s="134"/>
      <c r="B411" s="153">
        <v>2</v>
      </c>
      <c r="C411" s="121" t="s">
        <v>997</v>
      </c>
      <c r="D411" s="174" t="s">
        <v>1158</v>
      </c>
      <c r="E411" s="209"/>
      <c r="F411" s="164">
        <v>2</v>
      </c>
      <c r="G411" s="164">
        <f>$D$32</f>
        <v>60</v>
      </c>
      <c r="H411" s="164">
        <f t="shared" ref="H411:H413" si="433">F411*G411</f>
        <v>120</v>
      </c>
      <c r="I411" s="164">
        <f t="shared" ref="I411:K411" si="434">$H411*I$408</f>
        <v>840000</v>
      </c>
      <c r="J411" s="164">
        <f t="shared" si="434"/>
        <v>1440000</v>
      </c>
      <c r="K411" s="164">
        <f t="shared" si="434"/>
        <v>600000</v>
      </c>
      <c r="L411" s="111"/>
      <c r="M411" s="111"/>
      <c r="N411" s="111"/>
      <c r="O411" s="111"/>
      <c r="P411" s="111"/>
      <c r="Q411" s="111"/>
      <c r="R411" s="111"/>
      <c r="S411" s="712"/>
      <c r="T411" s="169" t="e">
        <f>'[2]AUN Budget'!#REF!</f>
        <v>#REF!</v>
      </c>
      <c r="U411" s="169" t="e">
        <f>'[2]AUN Budget'!#REF!</f>
        <v>#REF!</v>
      </c>
      <c r="V411" s="121" t="s">
        <v>957</v>
      </c>
      <c r="W411" s="121" t="s">
        <v>789</v>
      </c>
      <c r="X411" s="170">
        <f t="shared" ref="X411:X412" si="435">$G$412</f>
        <v>20</v>
      </c>
      <c r="Y411" s="200">
        <f t="shared" si="425"/>
        <v>42000</v>
      </c>
      <c r="Z411" s="167">
        <f t="shared" si="426"/>
        <v>840000</v>
      </c>
      <c r="AA411" s="164">
        <f t="shared" si="427"/>
        <v>20</v>
      </c>
      <c r="AB411" s="200">
        <f t="shared" si="428"/>
        <v>72000</v>
      </c>
      <c r="AC411" s="167">
        <f t="shared" si="429"/>
        <v>1440000</v>
      </c>
      <c r="AD411" s="164">
        <f t="shared" si="430"/>
        <v>20</v>
      </c>
      <c r="AE411" s="200">
        <f t="shared" si="431"/>
        <v>30000</v>
      </c>
      <c r="AF411" s="167">
        <f t="shared" si="432"/>
        <v>600000</v>
      </c>
      <c r="AG411" s="67"/>
    </row>
    <row r="412" spans="1:33">
      <c r="A412" s="134"/>
      <c r="B412" s="153">
        <v>3</v>
      </c>
      <c r="C412" s="121" t="s">
        <v>997</v>
      </c>
      <c r="D412" s="174" t="s">
        <v>1159</v>
      </c>
      <c r="E412" s="209"/>
      <c r="F412" s="164">
        <v>4</v>
      </c>
      <c r="G412" s="164">
        <f>$D$30</f>
        <v>20</v>
      </c>
      <c r="H412" s="164">
        <f t="shared" si="433"/>
        <v>80</v>
      </c>
      <c r="I412" s="164">
        <f t="shared" ref="I412:K412" si="436">$H412*I$408</f>
        <v>560000</v>
      </c>
      <c r="J412" s="164">
        <f t="shared" si="436"/>
        <v>960000</v>
      </c>
      <c r="K412" s="164">
        <f t="shared" si="436"/>
        <v>400000</v>
      </c>
      <c r="L412" s="111"/>
      <c r="M412" s="111"/>
      <c r="N412" s="111"/>
      <c r="O412" s="111"/>
      <c r="P412" s="111"/>
      <c r="Q412" s="111"/>
      <c r="R412" s="111"/>
      <c r="S412" s="712"/>
      <c r="T412" s="169" t="e">
        <f>'[2]AUN Budget'!#REF!</f>
        <v>#REF!</v>
      </c>
      <c r="U412" s="169" t="e">
        <f>'[2]AUN Budget'!#REF!</f>
        <v>#REF!</v>
      </c>
      <c r="V412" s="121" t="s">
        <v>957</v>
      </c>
      <c r="W412" s="121" t="s">
        <v>789</v>
      </c>
      <c r="X412" s="170">
        <f t="shared" si="435"/>
        <v>20</v>
      </c>
      <c r="Y412" s="200">
        <f t="shared" si="425"/>
        <v>28000</v>
      </c>
      <c r="Z412" s="167">
        <f t="shared" si="426"/>
        <v>560000</v>
      </c>
      <c r="AA412" s="164">
        <f t="shared" si="427"/>
        <v>20</v>
      </c>
      <c r="AB412" s="200">
        <f t="shared" si="428"/>
        <v>48000</v>
      </c>
      <c r="AC412" s="167">
        <f t="shared" si="429"/>
        <v>960000</v>
      </c>
      <c r="AD412" s="164">
        <f t="shared" si="430"/>
        <v>20</v>
      </c>
      <c r="AE412" s="200">
        <f t="shared" si="431"/>
        <v>20000</v>
      </c>
      <c r="AF412" s="167">
        <f t="shared" si="432"/>
        <v>400000</v>
      </c>
      <c r="AG412" s="67"/>
    </row>
    <row r="413" spans="1:33">
      <c r="A413" s="134"/>
      <c r="B413" s="153">
        <v>4</v>
      </c>
      <c r="C413" s="121" t="s">
        <v>992</v>
      </c>
      <c r="D413" s="174" t="s">
        <v>1160</v>
      </c>
      <c r="E413" s="209"/>
      <c r="F413" s="164">
        <v>1.2</v>
      </c>
      <c r="G413" s="164">
        <f>D23</f>
        <v>1025</v>
      </c>
      <c r="H413" s="164">
        <f t="shared" si="433"/>
        <v>1230</v>
      </c>
      <c r="I413" s="164">
        <f t="shared" ref="I413:K413" si="437">$H413*I$408</f>
        <v>8610000</v>
      </c>
      <c r="J413" s="164">
        <f t="shared" si="437"/>
        <v>14760000</v>
      </c>
      <c r="K413" s="164">
        <f t="shared" si="437"/>
        <v>6150000</v>
      </c>
      <c r="L413" s="111"/>
      <c r="M413" s="111"/>
      <c r="N413" s="111"/>
      <c r="O413" s="111"/>
      <c r="P413" s="111"/>
      <c r="Q413" s="111"/>
      <c r="R413" s="111"/>
      <c r="S413" s="712"/>
      <c r="T413" s="169" t="e">
        <f>'[2]AUN Budget'!#REF!</f>
        <v>#REF!</v>
      </c>
      <c r="U413" s="169" t="e">
        <f>'[2]AUN Budget'!#REF!</f>
        <v>#REF!</v>
      </c>
      <c r="V413" s="121" t="s">
        <v>994</v>
      </c>
      <c r="W413" s="121" t="s">
        <v>789</v>
      </c>
      <c r="X413" s="170">
        <f>G413</f>
        <v>1025</v>
      </c>
      <c r="Y413" s="200">
        <f t="shared" si="425"/>
        <v>8400</v>
      </c>
      <c r="Z413" s="167">
        <f t="shared" si="426"/>
        <v>8610000</v>
      </c>
      <c r="AA413" s="164">
        <f t="shared" si="427"/>
        <v>1025</v>
      </c>
      <c r="AB413" s="200">
        <f t="shared" si="428"/>
        <v>14400</v>
      </c>
      <c r="AC413" s="167">
        <f t="shared" si="429"/>
        <v>14760000</v>
      </c>
      <c r="AD413" s="164">
        <f t="shared" si="430"/>
        <v>1025</v>
      </c>
      <c r="AE413" s="200">
        <f t="shared" si="431"/>
        <v>6000</v>
      </c>
      <c r="AF413" s="167">
        <f t="shared" si="432"/>
        <v>6150000</v>
      </c>
      <c r="AG413" s="67"/>
    </row>
    <row r="414" spans="1:33">
      <c r="A414" s="134"/>
      <c r="B414" s="153">
        <v>5</v>
      </c>
      <c r="C414" s="121" t="s">
        <v>978</v>
      </c>
      <c r="D414" s="174" t="s">
        <v>1161</v>
      </c>
      <c r="E414" s="209">
        <v>0.5</v>
      </c>
      <c r="F414" s="164">
        <v>2</v>
      </c>
      <c r="G414" s="164">
        <f>'Assumptions HR_AUN'!$F$8</f>
        <v>80.053187003968247</v>
      </c>
      <c r="H414" s="164">
        <f>E414*F414*G414</f>
        <v>80.053187003968247</v>
      </c>
      <c r="I414" s="164">
        <f t="shared" ref="I414:K414" si="438">$H414*I$408</f>
        <v>560372.30902777775</v>
      </c>
      <c r="J414" s="164">
        <f t="shared" si="438"/>
        <v>960638.24404761894</v>
      </c>
      <c r="K414" s="164">
        <f t="shared" si="438"/>
        <v>400265.93501984124</v>
      </c>
      <c r="L414" s="111"/>
      <c r="M414" s="111"/>
      <c r="N414" s="111"/>
      <c r="O414" s="111"/>
      <c r="P414" s="111"/>
      <c r="Q414" s="111"/>
      <c r="R414" s="111"/>
      <c r="S414" s="712"/>
      <c r="T414" s="169" t="e">
        <f>'[2]AUN Budget'!#REF!</f>
        <v>#REF!</v>
      </c>
      <c r="U414" s="169" t="e">
        <f>'[2]AUN Budget'!#REF!</f>
        <v>#REF!</v>
      </c>
      <c r="V414" s="121" t="s">
        <v>977</v>
      </c>
      <c r="W414" s="121" t="s">
        <v>961</v>
      </c>
      <c r="X414" s="170">
        <f>G414*$D$35*$D$36</f>
        <v>40346.806249999994</v>
      </c>
      <c r="Y414" s="200">
        <f t="shared" si="425"/>
        <v>13.888888888888891</v>
      </c>
      <c r="Z414" s="167">
        <f t="shared" si="426"/>
        <v>560372.30902777775</v>
      </c>
      <c r="AA414" s="164">
        <f t="shared" si="427"/>
        <v>40346.806249999994</v>
      </c>
      <c r="AB414" s="200">
        <f t="shared" si="428"/>
        <v>23.80952380952381</v>
      </c>
      <c r="AC414" s="167">
        <f t="shared" si="429"/>
        <v>960638.24404761894</v>
      </c>
      <c r="AD414" s="164">
        <f t="shared" si="430"/>
        <v>40346.806249999994</v>
      </c>
      <c r="AE414" s="200">
        <f t="shared" si="431"/>
        <v>9.9206349206349209</v>
      </c>
      <c r="AF414" s="167">
        <f t="shared" si="432"/>
        <v>400265.93501984124</v>
      </c>
      <c r="AG414" s="67"/>
    </row>
    <row r="415" spans="1:33">
      <c r="A415" s="134"/>
      <c r="B415" s="153">
        <v>6</v>
      </c>
      <c r="C415" s="121" t="s">
        <v>1001</v>
      </c>
      <c r="D415" s="121"/>
      <c r="E415" s="209"/>
      <c r="F415" s="164"/>
      <c r="G415" s="185">
        <f>$C$13</f>
        <v>0.1</v>
      </c>
      <c r="H415" s="164">
        <f>SUM(H410:H414)*G415</f>
        <v>194.76079442797584</v>
      </c>
      <c r="I415" s="164">
        <f t="shared" ref="I415:K415" si="439">$H415*I$408</f>
        <v>1363325.5609958309</v>
      </c>
      <c r="J415" s="164">
        <f t="shared" si="439"/>
        <v>2337129.5331357103</v>
      </c>
      <c r="K415" s="164">
        <f t="shared" si="439"/>
        <v>973803.97213987925</v>
      </c>
      <c r="L415" s="111"/>
      <c r="M415" s="111"/>
      <c r="N415" s="111"/>
      <c r="O415" s="111"/>
      <c r="P415" s="111"/>
      <c r="Q415" s="111"/>
      <c r="R415" s="111"/>
      <c r="S415" s="712"/>
      <c r="T415" s="169" t="e">
        <f>'[2]AUN Budget'!#REF!</f>
        <v>#REF!</v>
      </c>
      <c r="U415" s="169" t="e">
        <f>'[2]AUN Budget'!#REF!</f>
        <v>#REF!</v>
      </c>
      <c r="V415" s="121" t="s">
        <v>875</v>
      </c>
      <c r="W415" s="121" t="s">
        <v>961</v>
      </c>
      <c r="X415" s="170">
        <f>'Assumptions HR_AUN'!$D$4*3</f>
        <v>88211.039066799218</v>
      </c>
      <c r="Y415" s="200">
        <f t="shared" si="425"/>
        <v>15.455271533117651</v>
      </c>
      <c r="Z415" s="167">
        <f t="shared" si="426"/>
        <v>1363325.5609958309</v>
      </c>
      <c r="AA415" s="164">
        <f t="shared" si="427"/>
        <v>88211.039066799218</v>
      </c>
      <c r="AB415" s="200">
        <f t="shared" si="428"/>
        <v>26.494751199630258</v>
      </c>
      <c r="AC415" s="167">
        <f t="shared" si="429"/>
        <v>2337129.5331357103</v>
      </c>
      <c r="AD415" s="164">
        <f t="shared" si="430"/>
        <v>88211.039066799218</v>
      </c>
      <c r="AE415" s="200">
        <f t="shared" si="431"/>
        <v>11.039479666512607</v>
      </c>
      <c r="AF415" s="167">
        <f t="shared" si="432"/>
        <v>973803.97213987913</v>
      </c>
      <c r="AG415" s="67"/>
    </row>
    <row r="416" spans="1:33">
      <c r="A416" s="134"/>
      <c r="B416" s="153">
        <v>7</v>
      </c>
      <c r="C416" s="121" t="s">
        <v>962</v>
      </c>
      <c r="D416" s="121"/>
      <c r="E416" s="209"/>
      <c r="F416" s="164"/>
      <c r="G416" s="185">
        <f>$C$14</f>
        <v>0.15</v>
      </c>
      <c r="H416" s="164">
        <f>SUM(H410:H414)*G416</f>
        <v>292.1411916419637</v>
      </c>
      <c r="I416" s="164">
        <f t="shared" ref="I416:K416" si="440">$H416*I$408</f>
        <v>2044988.3414937458</v>
      </c>
      <c r="J416" s="164">
        <f t="shared" si="440"/>
        <v>3505694.2997035645</v>
      </c>
      <c r="K416" s="164">
        <f t="shared" si="440"/>
        <v>1460705.9582098185</v>
      </c>
      <c r="L416" s="111"/>
      <c r="M416" s="111"/>
      <c r="N416" s="111"/>
      <c r="O416" s="111"/>
      <c r="P416" s="111"/>
      <c r="Q416" s="111"/>
      <c r="R416" s="111"/>
      <c r="S416" s="712"/>
      <c r="T416" s="169" t="e">
        <f>'[2]AUN Budget'!#REF!</f>
        <v>#REF!</v>
      </c>
      <c r="U416" s="169" t="e">
        <f>'[2]AUN Budget'!#REF!</f>
        <v>#REF!</v>
      </c>
      <c r="V416" s="121" t="s">
        <v>881</v>
      </c>
      <c r="W416" s="121" t="s">
        <v>964</v>
      </c>
      <c r="X416" s="170">
        <f>I416/4</f>
        <v>511247.08537343645</v>
      </c>
      <c r="Y416" s="200">
        <f t="shared" si="425"/>
        <v>4</v>
      </c>
      <c r="Z416" s="167">
        <f t="shared" si="426"/>
        <v>2044988.3414937458</v>
      </c>
      <c r="AA416" s="164">
        <f>J416/4</f>
        <v>876423.57492589112</v>
      </c>
      <c r="AB416" s="200">
        <f t="shared" si="428"/>
        <v>4</v>
      </c>
      <c r="AC416" s="167">
        <f t="shared" si="429"/>
        <v>3505694.2997035645</v>
      </c>
      <c r="AD416" s="164">
        <f>K416/4</f>
        <v>365176.48955245462</v>
      </c>
      <c r="AE416" s="200">
        <f t="shared" si="431"/>
        <v>4</v>
      </c>
      <c r="AF416" s="167">
        <f t="shared" si="432"/>
        <v>1460705.9582098185</v>
      </c>
      <c r="AG416" s="67"/>
    </row>
    <row r="417" spans="1:33">
      <c r="A417" s="134"/>
      <c r="B417" s="212" t="s">
        <v>770</v>
      </c>
      <c r="C417" s="212"/>
      <c r="D417" s="212"/>
      <c r="E417" s="212"/>
      <c r="F417" s="212"/>
      <c r="G417" s="178"/>
      <c r="H417" s="178">
        <f t="shared" ref="H417:K417" si="441">SUM(H410:H416)</f>
        <v>2434.5099303496977</v>
      </c>
      <c r="I417" s="178">
        <f t="shared" si="441"/>
        <v>17041569.512447882</v>
      </c>
      <c r="J417" s="178">
        <f t="shared" si="441"/>
        <v>29214119.164196368</v>
      </c>
      <c r="K417" s="178">
        <f t="shared" si="441"/>
        <v>12172549.65174849</v>
      </c>
      <c r="L417" s="111"/>
      <c r="M417" s="111"/>
      <c r="N417" s="111"/>
      <c r="O417" s="111"/>
      <c r="P417" s="111"/>
      <c r="Q417" s="111"/>
      <c r="R417" s="111"/>
      <c r="S417" s="712"/>
      <c r="T417" s="111"/>
      <c r="U417" s="111"/>
      <c r="V417" s="111"/>
      <c r="W417" s="111"/>
      <c r="X417" s="132"/>
      <c r="Y417" s="133"/>
      <c r="Z417" s="132"/>
      <c r="AA417" s="132"/>
      <c r="AB417" s="133"/>
      <c r="AC417" s="132"/>
      <c r="AD417" s="132"/>
      <c r="AE417" s="133"/>
      <c r="AF417" s="132"/>
      <c r="AG417" s="67"/>
    </row>
    <row r="418" spans="1:33">
      <c r="A418" s="9"/>
      <c r="B418" s="111"/>
      <c r="C418" s="111"/>
      <c r="D418" s="111"/>
      <c r="E418" s="111"/>
      <c r="F418" s="111"/>
      <c r="G418" s="111"/>
      <c r="H418" s="151"/>
      <c r="I418" s="111"/>
      <c r="J418" s="111"/>
      <c r="K418" s="111"/>
      <c r="L418" s="111"/>
      <c r="M418" s="111"/>
      <c r="N418" s="111"/>
      <c r="O418" s="111"/>
      <c r="P418" s="111"/>
      <c r="Q418" s="111"/>
      <c r="R418" s="111"/>
      <c r="S418" s="712"/>
      <c r="T418" s="111"/>
      <c r="U418" s="111"/>
      <c r="V418" s="111"/>
      <c r="W418" s="111"/>
      <c r="X418" s="111"/>
      <c r="Y418" s="111"/>
      <c r="Z418" s="111"/>
      <c r="AA418" s="111"/>
      <c r="AB418" s="111"/>
      <c r="AC418" s="111"/>
      <c r="AD418" s="111"/>
      <c r="AE418" s="111"/>
      <c r="AF418" s="111"/>
      <c r="AG418" s="67"/>
    </row>
    <row r="419" spans="1:33">
      <c r="A419" s="9"/>
      <c r="B419" s="111"/>
      <c r="C419" s="111"/>
      <c r="D419" s="111"/>
      <c r="E419" s="111"/>
      <c r="F419" s="111"/>
      <c r="G419" s="111"/>
      <c r="H419" s="151"/>
      <c r="I419" s="67"/>
      <c r="J419" s="67"/>
      <c r="K419" s="67"/>
      <c r="L419" s="111"/>
      <c r="M419" s="111"/>
      <c r="N419" s="111"/>
      <c r="O419" s="111"/>
      <c r="P419" s="111"/>
      <c r="Q419" s="111"/>
      <c r="R419" s="111"/>
      <c r="S419" s="712"/>
      <c r="T419" s="111"/>
      <c r="U419" s="111"/>
      <c r="V419" s="111"/>
      <c r="W419" s="111"/>
      <c r="X419" s="111"/>
      <c r="Y419" s="111"/>
      <c r="Z419" s="111"/>
      <c r="AA419" s="111"/>
      <c r="AB419" s="111"/>
      <c r="AC419" s="111"/>
      <c r="AD419" s="111"/>
      <c r="AE419" s="111"/>
      <c r="AF419" s="111"/>
      <c r="AG419" s="67"/>
    </row>
    <row r="420" spans="1:33">
      <c r="A420" s="9"/>
      <c r="B420" s="111"/>
      <c r="C420" s="111"/>
      <c r="D420" s="111"/>
      <c r="E420" s="111"/>
      <c r="F420" s="111"/>
      <c r="G420" s="111"/>
      <c r="H420" s="111"/>
      <c r="I420" s="67"/>
      <c r="J420" s="67"/>
      <c r="K420" s="67"/>
      <c r="L420" s="111"/>
      <c r="M420" s="111"/>
      <c r="N420" s="111"/>
      <c r="O420" s="111"/>
      <c r="P420" s="111"/>
      <c r="Q420" s="111"/>
      <c r="R420" s="111"/>
      <c r="S420" s="712"/>
      <c r="T420" s="111"/>
      <c r="U420" s="111"/>
      <c r="V420" s="111"/>
      <c r="W420" s="111"/>
      <c r="X420" s="132"/>
      <c r="Y420" s="133"/>
      <c r="Z420" s="132"/>
      <c r="AA420" s="132"/>
      <c r="AB420" s="133"/>
      <c r="AC420" s="132"/>
      <c r="AD420" s="132"/>
      <c r="AE420" s="133"/>
      <c r="AF420" s="132"/>
      <c r="AG420" s="67"/>
    </row>
    <row r="421" spans="1:33">
      <c r="A421" s="725">
        <v>22</v>
      </c>
      <c r="B421" s="726" t="e" vm="1">
        <f>'[2]AUN Budget'!$E$90</f>
        <v>#VALUE!</v>
      </c>
      <c r="C421" s="731"/>
      <c r="D421" s="731"/>
      <c r="E421" s="731"/>
      <c r="F421" s="731"/>
      <c r="G421" s="731"/>
      <c r="H421" s="731"/>
      <c r="I421" s="181">
        <v>21000</v>
      </c>
      <c r="J421" s="216">
        <v>18000</v>
      </c>
      <c r="K421" s="216">
        <v>18000</v>
      </c>
      <c r="L421" s="111"/>
      <c r="M421" s="111"/>
      <c r="N421" s="111"/>
      <c r="O421" s="111"/>
      <c r="P421" s="111"/>
      <c r="Q421" s="111"/>
      <c r="R421" s="111"/>
      <c r="S421" s="712"/>
      <c r="T421" s="111"/>
      <c r="U421" s="111"/>
      <c r="V421" s="111"/>
      <c r="W421" s="111"/>
      <c r="X421" s="132"/>
      <c r="Y421" s="133"/>
      <c r="Z421" s="132"/>
      <c r="AA421" s="132"/>
      <c r="AB421" s="133"/>
      <c r="AC421" s="132"/>
      <c r="AD421" s="132"/>
      <c r="AE421" s="133"/>
      <c r="AF421" s="132"/>
      <c r="AG421" s="67"/>
    </row>
    <row r="422" spans="1:33">
      <c r="A422" s="157" t="s">
        <v>26</v>
      </c>
      <c r="B422" s="113" t="s">
        <v>755</v>
      </c>
      <c r="C422" s="113" t="s">
        <v>966</v>
      </c>
      <c r="D422" s="113" t="s">
        <v>967</v>
      </c>
      <c r="E422" s="113" t="s">
        <v>968</v>
      </c>
      <c r="F422" s="113" t="s">
        <v>969</v>
      </c>
      <c r="G422" s="113" t="s">
        <v>970</v>
      </c>
      <c r="H422" s="113" t="s">
        <v>971</v>
      </c>
      <c r="I422" s="113" t="s">
        <v>972</v>
      </c>
      <c r="J422" s="113" t="s">
        <v>973</v>
      </c>
      <c r="K422" s="113" t="s">
        <v>974</v>
      </c>
      <c r="L422" s="111"/>
      <c r="M422" s="111"/>
      <c r="N422" s="111"/>
      <c r="O422" s="182"/>
      <c r="P422" s="182"/>
      <c r="Q422" s="182"/>
      <c r="R422" s="182"/>
      <c r="S422" s="727"/>
      <c r="T422" s="159" t="s">
        <v>387</v>
      </c>
      <c r="U422" s="159" t="s">
        <v>388</v>
      </c>
      <c r="V422" s="159" t="s">
        <v>934</v>
      </c>
      <c r="W422" s="160" t="s">
        <v>935</v>
      </c>
      <c r="X422" s="161" t="s">
        <v>936</v>
      </c>
      <c r="Y422" s="162" t="s">
        <v>937</v>
      </c>
      <c r="Z422" s="161" t="s">
        <v>938</v>
      </c>
      <c r="AA422" s="161" t="s">
        <v>939</v>
      </c>
      <c r="AB422" s="162" t="s">
        <v>940</v>
      </c>
      <c r="AC422" s="161" t="s">
        <v>941</v>
      </c>
      <c r="AD422" s="161" t="s">
        <v>942</v>
      </c>
      <c r="AE422" s="162" t="s">
        <v>943</v>
      </c>
      <c r="AF422" s="161" t="s">
        <v>944</v>
      </c>
      <c r="AG422" s="67"/>
    </row>
    <row r="423" spans="1:33">
      <c r="A423" s="134"/>
      <c r="B423" s="153">
        <v>1</v>
      </c>
      <c r="C423" s="121" t="s">
        <v>978</v>
      </c>
      <c r="D423" s="121" t="s">
        <v>1161</v>
      </c>
      <c r="E423" s="209">
        <v>0.5</v>
      </c>
      <c r="F423" s="164">
        <v>2</v>
      </c>
      <c r="G423" s="164">
        <f>'Assumptions HR_AUN'!$F$8</f>
        <v>80.053187003968247</v>
      </c>
      <c r="H423" s="164">
        <f>E423*F423*G423</f>
        <v>80.053187003968247</v>
      </c>
      <c r="I423" s="164">
        <f t="shared" ref="I423:I427" si="442">$H423*I$421</f>
        <v>1681116.9270833333</v>
      </c>
      <c r="J423" s="164">
        <f t="shared" ref="J423:J427" si="443">H423*J$421</f>
        <v>1440957.3660714284</v>
      </c>
      <c r="K423" s="164">
        <f t="shared" ref="K423:K427" si="444">H423*K$421</f>
        <v>1440957.3660714284</v>
      </c>
      <c r="L423" s="111"/>
      <c r="M423" s="111"/>
      <c r="N423" s="111"/>
      <c r="O423" s="111"/>
      <c r="P423" s="111"/>
      <c r="Q423" s="111"/>
      <c r="R423" s="111"/>
      <c r="S423" s="712"/>
      <c r="T423" s="169" t="s">
        <v>946</v>
      </c>
      <c r="U423" s="169" t="s">
        <v>946</v>
      </c>
      <c r="V423" s="121" t="s">
        <v>977</v>
      </c>
      <c r="W423" s="121" t="s">
        <v>961</v>
      </c>
      <c r="X423" s="170">
        <f>$G423*$D$35*$D$36</f>
        <v>40346.806249999994</v>
      </c>
      <c r="Y423" s="200">
        <f t="shared" ref="Y423:Y427" si="445">I423/X423</f>
        <v>41.666666666666671</v>
      </c>
      <c r="Z423" s="167">
        <f t="shared" ref="Z423:Z427" si="446">X423*Y423</f>
        <v>1681116.9270833333</v>
      </c>
      <c r="AA423" s="164">
        <f>$G423*$D$35*$D$36</f>
        <v>40346.806249999994</v>
      </c>
      <c r="AB423" s="200">
        <f t="shared" ref="AB423:AB427" si="447">J423/AA423</f>
        <v>35.714285714285715</v>
      </c>
      <c r="AC423" s="167">
        <f t="shared" ref="AC423:AC427" si="448">AA423*AB423</f>
        <v>1440957.3660714284</v>
      </c>
      <c r="AD423" s="164">
        <f>$G423*$D$35*$D$36</f>
        <v>40346.806249999994</v>
      </c>
      <c r="AE423" s="200">
        <f t="shared" ref="AE423:AE427" si="449">K423/AD423</f>
        <v>35.714285714285715</v>
      </c>
      <c r="AF423" s="167">
        <f t="shared" ref="AF423:AF427" si="450">AD423*AE423</f>
        <v>1440957.3660714284</v>
      </c>
      <c r="AG423" s="67"/>
    </row>
    <row r="424" spans="1:33">
      <c r="A424" s="134"/>
      <c r="B424" s="153">
        <v>2</v>
      </c>
      <c r="C424" s="121" t="s">
        <v>997</v>
      </c>
      <c r="D424" s="121" t="s">
        <v>1162</v>
      </c>
      <c r="E424" s="209"/>
      <c r="F424" s="164">
        <v>0.55000000000000004</v>
      </c>
      <c r="G424" s="164">
        <f>$D$32</f>
        <v>60</v>
      </c>
      <c r="H424" s="164">
        <f t="shared" ref="H424:H425" si="451">F424*G424</f>
        <v>33</v>
      </c>
      <c r="I424" s="164">
        <f t="shared" si="442"/>
        <v>693000</v>
      </c>
      <c r="J424" s="164">
        <f t="shared" si="443"/>
        <v>594000</v>
      </c>
      <c r="K424" s="164">
        <f t="shared" si="444"/>
        <v>594000</v>
      </c>
      <c r="L424" s="111"/>
      <c r="M424" s="111"/>
      <c r="N424" s="111"/>
      <c r="O424" s="111"/>
      <c r="P424" s="111"/>
      <c r="Q424" s="111"/>
      <c r="R424" s="111"/>
      <c r="S424" s="712"/>
      <c r="T424" s="169" t="s">
        <v>946</v>
      </c>
      <c r="U424" s="169" t="s">
        <v>946</v>
      </c>
      <c r="V424" s="121" t="s">
        <v>957</v>
      </c>
      <c r="W424" s="121" t="s">
        <v>789</v>
      </c>
      <c r="X424" s="170">
        <f>H424</f>
        <v>33</v>
      </c>
      <c r="Y424" s="200">
        <f t="shared" si="445"/>
        <v>21000</v>
      </c>
      <c r="Z424" s="167">
        <f t="shared" si="446"/>
        <v>693000</v>
      </c>
      <c r="AA424" s="164">
        <f>H424</f>
        <v>33</v>
      </c>
      <c r="AB424" s="200">
        <f t="shared" si="447"/>
        <v>18000</v>
      </c>
      <c r="AC424" s="167">
        <f t="shared" si="448"/>
        <v>594000</v>
      </c>
      <c r="AD424" s="164">
        <f>H424</f>
        <v>33</v>
      </c>
      <c r="AE424" s="200">
        <f t="shared" si="449"/>
        <v>18000</v>
      </c>
      <c r="AF424" s="167">
        <f t="shared" si="450"/>
        <v>594000</v>
      </c>
      <c r="AG424" s="67"/>
    </row>
    <row r="425" spans="1:33">
      <c r="A425" s="134"/>
      <c r="B425" s="153">
        <v>3</v>
      </c>
      <c r="C425" s="121" t="s">
        <v>987</v>
      </c>
      <c r="D425" s="121" t="s">
        <v>1163</v>
      </c>
      <c r="E425" s="209"/>
      <c r="F425" s="164">
        <v>1</v>
      </c>
      <c r="G425" s="164">
        <f>$D$20</f>
        <v>156</v>
      </c>
      <c r="H425" s="164">
        <f t="shared" si="451"/>
        <v>156</v>
      </c>
      <c r="I425" s="164">
        <f t="shared" si="442"/>
        <v>3276000</v>
      </c>
      <c r="J425" s="164">
        <f t="shared" si="443"/>
        <v>2808000</v>
      </c>
      <c r="K425" s="164">
        <f t="shared" si="444"/>
        <v>2808000</v>
      </c>
      <c r="L425" s="111"/>
      <c r="M425" s="111"/>
      <c r="N425" s="111"/>
      <c r="O425" s="111"/>
      <c r="P425" s="111"/>
      <c r="Q425" s="111"/>
      <c r="R425" s="111"/>
      <c r="S425" s="712"/>
      <c r="T425" s="169" t="s">
        <v>946</v>
      </c>
      <c r="U425" s="169" t="s">
        <v>946</v>
      </c>
      <c r="V425" s="121" t="s">
        <v>989</v>
      </c>
      <c r="W425" s="121" t="s">
        <v>789</v>
      </c>
      <c r="X425" s="170">
        <f>$G$425*3</f>
        <v>468</v>
      </c>
      <c r="Y425" s="200">
        <f t="shared" si="445"/>
        <v>7000</v>
      </c>
      <c r="Z425" s="167">
        <f t="shared" si="446"/>
        <v>3276000</v>
      </c>
      <c r="AA425" s="164">
        <f>$G$425*3</f>
        <v>468</v>
      </c>
      <c r="AB425" s="200">
        <f t="shared" si="447"/>
        <v>6000</v>
      </c>
      <c r="AC425" s="167">
        <f t="shared" si="448"/>
        <v>2808000</v>
      </c>
      <c r="AD425" s="164">
        <f>$G$425*3</f>
        <v>468</v>
      </c>
      <c r="AE425" s="200">
        <f t="shared" si="449"/>
        <v>6000</v>
      </c>
      <c r="AF425" s="167">
        <f t="shared" si="450"/>
        <v>2808000</v>
      </c>
      <c r="AG425" s="67"/>
    </row>
    <row r="426" spans="1:33">
      <c r="A426" s="134"/>
      <c r="B426" s="153">
        <v>4</v>
      </c>
      <c r="C426" s="121" t="s">
        <v>1045</v>
      </c>
      <c r="D426" s="121"/>
      <c r="E426" s="209"/>
      <c r="F426" s="164"/>
      <c r="G426" s="164">
        <v>0.1</v>
      </c>
      <c r="H426" s="164">
        <f>SUM(H423:H425)*0.1</f>
        <v>26.905318700396823</v>
      </c>
      <c r="I426" s="164">
        <f t="shared" si="442"/>
        <v>565011.69270833326</v>
      </c>
      <c r="J426" s="164">
        <f t="shared" si="443"/>
        <v>484295.73660714278</v>
      </c>
      <c r="K426" s="164">
        <f t="shared" si="444"/>
        <v>484295.73660714278</v>
      </c>
      <c r="L426" s="111"/>
      <c r="M426" s="111"/>
      <c r="N426" s="111"/>
      <c r="O426" s="111"/>
      <c r="P426" s="111"/>
      <c r="Q426" s="111"/>
      <c r="R426" s="111"/>
      <c r="S426" s="712"/>
      <c r="T426" s="169" t="s">
        <v>946</v>
      </c>
      <c r="U426" s="169" t="s">
        <v>946</v>
      </c>
      <c r="V426" s="121" t="s">
        <v>875</v>
      </c>
      <c r="W426" s="121" t="s">
        <v>961</v>
      </c>
      <c r="X426" s="170">
        <f>'Assumptions HR_AUN'!$D$4*3</f>
        <v>88211.039066799218</v>
      </c>
      <c r="Y426" s="200">
        <f t="shared" si="445"/>
        <v>6.4052265871221525</v>
      </c>
      <c r="Z426" s="167">
        <f t="shared" si="446"/>
        <v>565011.69270833326</v>
      </c>
      <c r="AA426" s="164">
        <f t="shared" ref="AA426:AA427" si="452">X426</f>
        <v>88211.039066799218</v>
      </c>
      <c r="AB426" s="200">
        <f t="shared" si="447"/>
        <v>5.4901942175332739</v>
      </c>
      <c r="AC426" s="167">
        <f t="shared" si="448"/>
        <v>484295.73660714278</v>
      </c>
      <c r="AD426" s="164">
        <f t="shared" ref="AD426:AD427" si="453">AA426</f>
        <v>88211.039066799218</v>
      </c>
      <c r="AE426" s="200">
        <f t="shared" si="449"/>
        <v>5.4901942175332739</v>
      </c>
      <c r="AF426" s="167">
        <f t="shared" si="450"/>
        <v>484295.73660714278</v>
      </c>
      <c r="AG426" s="67"/>
    </row>
    <row r="427" spans="1:33">
      <c r="A427" s="134"/>
      <c r="B427" s="153">
        <v>5</v>
      </c>
      <c r="C427" s="121" t="s">
        <v>1046</v>
      </c>
      <c r="D427" s="121"/>
      <c r="E427" s="209"/>
      <c r="F427" s="164"/>
      <c r="G427" s="164">
        <v>0.15</v>
      </c>
      <c r="H427" s="164">
        <f>SUM(H423:H425)*0.15</f>
        <v>40.357978050595229</v>
      </c>
      <c r="I427" s="164">
        <f t="shared" si="442"/>
        <v>847517.53906249977</v>
      </c>
      <c r="J427" s="164">
        <f t="shared" si="443"/>
        <v>726443.60491071409</v>
      </c>
      <c r="K427" s="164">
        <f t="shared" si="444"/>
        <v>726443.60491071409</v>
      </c>
      <c r="L427" s="111"/>
      <c r="M427" s="111"/>
      <c r="N427" s="111"/>
      <c r="O427" s="111"/>
      <c r="P427" s="111"/>
      <c r="Q427" s="111"/>
      <c r="R427" s="111"/>
      <c r="S427" s="712"/>
      <c r="T427" s="169" t="s">
        <v>946</v>
      </c>
      <c r="U427" s="169" t="s">
        <v>946</v>
      </c>
      <c r="V427" s="121" t="s">
        <v>881</v>
      </c>
      <c r="W427" s="121" t="s">
        <v>964</v>
      </c>
      <c r="X427" s="170">
        <f>I427/4</f>
        <v>211879.38476562494</v>
      </c>
      <c r="Y427" s="200">
        <f t="shared" si="445"/>
        <v>4</v>
      </c>
      <c r="Z427" s="167">
        <f t="shared" si="446"/>
        <v>847517.53906249977</v>
      </c>
      <c r="AA427" s="164">
        <f t="shared" si="452"/>
        <v>211879.38476562494</v>
      </c>
      <c r="AB427" s="200">
        <f t="shared" si="447"/>
        <v>3.4285714285714284</v>
      </c>
      <c r="AC427" s="167">
        <f t="shared" si="448"/>
        <v>726443.60491071409</v>
      </c>
      <c r="AD427" s="164">
        <f t="shared" si="453"/>
        <v>211879.38476562494</v>
      </c>
      <c r="AE427" s="200">
        <f t="shared" si="449"/>
        <v>3.4285714285714284</v>
      </c>
      <c r="AF427" s="167">
        <f t="shared" si="450"/>
        <v>726443.60491071409</v>
      </c>
      <c r="AG427" s="67"/>
    </row>
    <row r="428" spans="1:33">
      <c r="A428" s="134"/>
      <c r="B428" s="212" t="s">
        <v>770</v>
      </c>
      <c r="C428" s="212"/>
      <c r="D428" s="212"/>
      <c r="E428" s="212"/>
      <c r="F428" s="212"/>
      <c r="G428" s="178"/>
      <c r="H428" s="178">
        <f t="shared" ref="H428:K428" si="454">SUM(H423:H427)</f>
        <v>336.3164837549603</v>
      </c>
      <c r="I428" s="178">
        <f t="shared" si="454"/>
        <v>7062646.158854166</v>
      </c>
      <c r="J428" s="178">
        <f t="shared" si="454"/>
        <v>6053696.7075892854</v>
      </c>
      <c r="K428" s="178">
        <f t="shared" si="454"/>
        <v>6053696.7075892854</v>
      </c>
      <c r="L428" s="111"/>
      <c r="M428" s="111"/>
      <c r="N428" s="111"/>
      <c r="O428" s="111"/>
      <c r="P428" s="111"/>
      <c r="Q428" s="111"/>
      <c r="R428" s="111"/>
      <c r="S428" s="712"/>
      <c r="T428" s="111"/>
      <c r="U428" s="111"/>
      <c r="V428" s="111"/>
      <c r="W428" s="111"/>
      <c r="X428" s="132"/>
      <c r="Y428" s="133"/>
      <c r="Z428" s="132"/>
      <c r="AA428" s="132"/>
      <c r="AB428" s="133"/>
      <c r="AC428" s="132"/>
      <c r="AD428" s="132"/>
      <c r="AE428" s="133"/>
      <c r="AF428" s="132"/>
      <c r="AG428" s="67"/>
    </row>
    <row r="429" spans="1:33">
      <c r="A429" s="9"/>
      <c r="B429" s="111"/>
      <c r="C429" s="111"/>
      <c r="D429" s="111"/>
      <c r="E429" s="111"/>
      <c r="F429" s="111"/>
      <c r="G429" s="111"/>
      <c r="H429" s="151"/>
      <c r="I429" s="111"/>
      <c r="J429" s="111"/>
      <c r="K429" s="111"/>
      <c r="L429" s="111"/>
      <c r="M429" s="111"/>
      <c r="N429" s="111"/>
      <c r="O429" s="111"/>
      <c r="P429" s="111"/>
      <c r="Q429" s="111"/>
      <c r="R429" s="111"/>
      <c r="S429" s="712"/>
      <c r="T429" s="111"/>
      <c r="U429" s="111"/>
      <c r="V429" s="111"/>
      <c r="W429" s="111"/>
      <c r="X429" s="111"/>
      <c r="Y429" s="111"/>
      <c r="Z429" s="111"/>
      <c r="AA429" s="111"/>
      <c r="AB429" s="111"/>
      <c r="AC429" s="111"/>
      <c r="AD429" s="111"/>
      <c r="AE429" s="111"/>
      <c r="AF429" s="111"/>
      <c r="AG429" s="67"/>
    </row>
    <row r="430" spans="1:33">
      <c r="A430" s="9"/>
      <c r="B430" s="111"/>
      <c r="C430" s="111"/>
      <c r="D430" s="111"/>
      <c r="E430" s="111"/>
      <c r="F430" s="111"/>
      <c r="G430" s="111"/>
      <c r="H430" s="151"/>
      <c r="I430" s="111"/>
      <c r="J430" s="111"/>
      <c r="K430" s="111"/>
      <c r="L430" s="111"/>
      <c r="M430" s="111"/>
      <c r="N430" s="111"/>
      <c r="O430" s="111"/>
      <c r="P430" s="111"/>
      <c r="Q430" s="111"/>
      <c r="R430" s="111"/>
      <c r="S430" s="712"/>
      <c r="T430" s="111"/>
      <c r="U430" s="111"/>
      <c r="V430" s="111"/>
      <c r="W430" s="111"/>
      <c r="X430" s="111"/>
      <c r="Y430" s="111"/>
      <c r="Z430" s="111"/>
      <c r="AA430" s="111"/>
      <c r="AB430" s="111"/>
      <c r="AC430" s="111"/>
      <c r="AD430" s="111"/>
      <c r="AE430" s="111"/>
      <c r="AF430" s="111"/>
      <c r="AG430" s="67"/>
    </row>
    <row r="431" spans="1:33">
      <c r="A431" s="9"/>
      <c r="B431" s="111"/>
      <c r="C431" s="111"/>
      <c r="D431" s="111"/>
      <c r="E431" s="111"/>
      <c r="F431" s="111"/>
      <c r="G431" s="111"/>
      <c r="H431" s="111"/>
      <c r="I431" s="67"/>
      <c r="J431" s="67"/>
      <c r="K431" s="67"/>
      <c r="L431" s="111"/>
      <c r="M431" s="111"/>
      <c r="N431" s="111"/>
      <c r="O431" s="111"/>
      <c r="P431" s="111"/>
      <c r="Q431" s="111"/>
      <c r="R431" s="111"/>
      <c r="S431" s="712"/>
      <c r="T431" s="111"/>
      <c r="U431" s="111"/>
      <c r="V431" s="111"/>
      <c r="W431" s="111"/>
      <c r="X431" s="132"/>
      <c r="Y431" s="133"/>
      <c r="Z431" s="132"/>
      <c r="AA431" s="132"/>
      <c r="AB431" s="133"/>
      <c r="AC431" s="132"/>
      <c r="AD431" s="132"/>
      <c r="AE431" s="133"/>
      <c r="AF431" s="132"/>
      <c r="AG431" s="67"/>
    </row>
    <row r="432" spans="1:33">
      <c r="A432" s="725">
        <v>23</v>
      </c>
      <c r="B432" s="726" t="e" vm="1">
        <f>'[2]AUN Budget'!E95</f>
        <v>#VALUE!</v>
      </c>
      <c r="C432" s="731"/>
      <c r="D432" s="731"/>
      <c r="E432" s="731"/>
      <c r="F432" s="731"/>
      <c r="G432" s="731"/>
      <c r="H432" s="731"/>
      <c r="I432" s="216">
        <v>9900</v>
      </c>
      <c r="J432" s="216">
        <v>9900</v>
      </c>
      <c r="K432" s="216">
        <f>9900</f>
        <v>9900</v>
      </c>
      <c r="L432" s="111"/>
      <c r="M432" s="111"/>
      <c r="N432" s="111"/>
      <c r="O432" s="111"/>
      <c r="P432" s="111"/>
      <c r="Q432" s="111"/>
      <c r="R432" s="111"/>
      <c r="S432" s="712"/>
      <c r="T432" s="111"/>
      <c r="U432" s="111"/>
      <c r="V432" s="111"/>
      <c r="W432" s="111"/>
      <c r="X432" s="132"/>
      <c r="Y432" s="133"/>
      <c r="Z432" s="132"/>
      <c r="AA432" s="132"/>
      <c r="AB432" s="133"/>
      <c r="AC432" s="132"/>
      <c r="AD432" s="132"/>
      <c r="AE432" s="133"/>
      <c r="AF432" s="132"/>
      <c r="AG432" s="67"/>
    </row>
    <row r="433" spans="1:33">
      <c r="A433" s="157" t="s">
        <v>1164</v>
      </c>
      <c r="B433" s="113" t="s">
        <v>755</v>
      </c>
      <c r="C433" s="113" t="s">
        <v>966</v>
      </c>
      <c r="D433" s="113" t="s">
        <v>967</v>
      </c>
      <c r="E433" s="113" t="s">
        <v>968</v>
      </c>
      <c r="F433" s="113" t="s">
        <v>969</v>
      </c>
      <c r="G433" s="113" t="s">
        <v>970</v>
      </c>
      <c r="H433" s="113" t="s">
        <v>971</v>
      </c>
      <c r="I433" s="113" t="s">
        <v>972</v>
      </c>
      <c r="J433" s="113" t="s">
        <v>973</v>
      </c>
      <c r="K433" s="113" t="s">
        <v>974</v>
      </c>
      <c r="L433" s="111"/>
      <c r="M433" s="111"/>
      <c r="N433" s="111"/>
      <c r="O433" s="182"/>
      <c r="P433" s="182"/>
      <c r="Q433" s="182"/>
      <c r="R433" s="182"/>
      <c r="S433" s="727"/>
      <c r="T433" s="159" t="s">
        <v>387</v>
      </c>
      <c r="U433" s="159" t="s">
        <v>388</v>
      </c>
      <c r="V433" s="159" t="s">
        <v>934</v>
      </c>
      <c r="W433" s="160" t="s">
        <v>935</v>
      </c>
      <c r="X433" s="161" t="s">
        <v>936</v>
      </c>
      <c r="Y433" s="162" t="s">
        <v>937</v>
      </c>
      <c r="Z433" s="161" t="s">
        <v>938</v>
      </c>
      <c r="AA433" s="161" t="s">
        <v>939</v>
      </c>
      <c r="AB433" s="162" t="s">
        <v>940</v>
      </c>
      <c r="AC433" s="161" t="s">
        <v>941</v>
      </c>
      <c r="AD433" s="161" t="s">
        <v>942</v>
      </c>
      <c r="AE433" s="162" t="s">
        <v>943</v>
      </c>
      <c r="AF433" s="161" t="s">
        <v>944</v>
      </c>
      <c r="AG433" s="67"/>
    </row>
    <row r="434" spans="1:33">
      <c r="A434" s="134"/>
      <c r="B434" s="153">
        <v>1</v>
      </c>
      <c r="C434" s="121" t="s">
        <v>978</v>
      </c>
      <c r="D434" s="121" t="s">
        <v>1161</v>
      </c>
      <c r="E434" s="209">
        <v>0.5</v>
      </c>
      <c r="F434" s="164">
        <v>2</v>
      </c>
      <c r="G434" s="164">
        <f>'Assumptions HR_AUN'!$F$8</f>
        <v>80.053187003968247</v>
      </c>
      <c r="H434" s="164">
        <f>E434*F434*G434</f>
        <v>80.053187003968247</v>
      </c>
      <c r="I434" s="164">
        <f t="shared" ref="I434:K434" si="455">$H434*I$432</f>
        <v>792526.55133928568</v>
      </c>
      <c r="J434" s="164">
        <f t="shared" si="455"/>
        <v>792526.55133928568</v>
      </c>
      <c r="K434" s="164">
        <f t="shared" si="455"/>
        <v>792526.55133928568</v>
      </c>
      <c r="L434" s="111"/>
      <c r="M434" s="111"/>
      <c r="N434" s="111"/>
      <c r="O434" s="111"/>
      <c r="P434" s="111"/>
      <c r="Q434" s="111"/>
      <c r="R434" s="111"/>
      <c r="S434" s="712"/>
      <c r="T434" s="169" t="s">
        <v>946</v>
      </c>
      <c r="U434" s="169" t="s">
        <v>946</v>
      </c>
      <c r="V434" s="121" t="s">
        <v>977</v>
      </c>
      <c r="W434" s="121" t="s">
        <v>961</v>
      </c>
      <c r="X434" s="170">
        <f>$G434*$D$35*$D$36</f>
        <v>40346.806249999994</v>
      </c>
      <c r="Y434" s="200">
        <f t="shared" ref="Y434:Y438" si="456">I434/X434</f>
        <v>19.642857142857146</v>
      </c>
      <c r="Z434" s="167">
        <f t="shared" ref="Z434:Z438" si="457">X434*Y434</f>
        <v>792526.55133928568</v>
      </c>
      <c r="AA434" s="164">
        <f>$G434*$D$35*$D$36</f>
        <v>40346.806249999994</v>
      </c>
      <c r="AB434" s="200">
        <f t="shared" ref="AB434:AB438" si="458">J434/AA434</f>
        <v>19.642857142857146</v>
      </c>
      <c r="AC434" s="167">
        <f t="shared" ref="AC434:AC438" si="459">AA434*AB434</f>
        <v>792526.55133928568</v>
      </c>
      <c r="AD434" s="164">
        <f>$G434*$D$35*$D$36</f>
        <v>40346.806249999994</v>
      </c>
      <c r="AE434" s="200">
        <f t="shared" ref="AE434:AE438" si="460">K434/AD434</f>
        <v>19.642857142857146</v>
      </c>
      <c r="AF434" s="167">
        <f t="shared" ref="AF434:AF438" si="461">AD434*AE434</f>
        <v>792526.55133928568</v>
      </c>
      <c r="AG434" s="67"/>
    </row>
    <row r="435" spans="1:33">
      <c r="A435" s="134"/>
      <c r="B435" s="153">
        <v>2</v>
      </c>
      <c r="C435" s="121" t="s">
        <v>997</v>
      </c>
      <c r="D435" s="121" t="s">
        <v>1162</v>
      </c>
      <c r="E435" s="209"/>
      <c r="F435" s="164">
        <v>1</v>
      </c>
      <c r="G435" s="164">
        <f>$D$32</f>
        <v>60</v>
      </c>
      <c r="H435" s="164">
        <f t="shared" ref="H435:H436" si="462">F435*G435</f>
        <v>60</v>
      </c>
      <c r="I435" s="164">
        <f t="shared" ref="I435:K435" si="463">$H435*I$432</f>
        <v>594000</v>
      </c>
      <c r="J435" s="164">
        <f t="shared" si="463"/>
        <v>594000</v>
      </c>
      <c r="K435" s="164">
        <f t="shared" si="463"/>
        <v>594000</v>
      </c>
      <c r="L435" s="111"/>
      <c r="M435" s="111"/>
      <c r="N435" s="111"/>
      <c r="O435" s="111"/>
      <c r="P435" s="111"/>
      <c r="Q435" s="111"/>
      <c r="R435" s="111"/>
      <c r="S435" s="712"/>
      <c r="T435" s="169" t="s">
        <v>946</v>
      </c>
      <c r="U435" s="169" t="s">
        <v>946</v>
      </c>
      <c r="V435" s="121" t="s">
        <v>957</v>
      </c>
      <c r="W435" s="121" t="s">
        <v>789</v>
      </c>
      <c r="X435" s="170">
        <f>H435</f>
        <v>60</v>
      </c>
      <c r="Y435" s="200">
        <f t="shared" si="456"/>
        <v>9900</v>
      </c>
      <c r="Z435" s="167">
        <f t="shared" si="457"/>
        <v>594000</v>
      </c>
      <c r="AA435" s="164">
        <f>H435</f>
        <v>60</v>
      </c>
      <c r="AB435" s="200">
        <f t="shared" si="458"/>
        <v>9900</v>
      </c>
      <c r="AC435" s="167">
        <f t="shared" si="459"/>
        <v>594000</v>
      </c>
      <c r="AD435" s="164">
        <f>H435</f>
        <v>60</v>
      </c>
      <c r="AE435" s="200">
        <f t="shared" si="460"/>
        <v>9900</v>
      </c>
      <c r="AF435" s="167">
        <f t="shared" si="461"/>
        <v>594000</v>
      </c>
      <c r="AG435" s="67"/>
    </row>
    <row r="436" spans="1:33">
      <c r="A436" s="134"/>
      <c r="B436" s="153">
        <v>3</v>
      </c>
      <c r="C436" s="121" t="s">
        <v>987</v>
      </c>
      <c r="D436" s="121" t="s">
        <v>1163</v>
      </c>
      <c r="E436" s="209"/>
      <c r="F436" s="164">
        <v>1</v>
      </c>
      <c r="G436" s="164">
        <f>$D$20</f>
        <v>156</v>
      </c>
      <c r="H436" s="164">
        <f t="shared" si="462"/>
        <v>156</v>
      </c>
      <c r="I436" s="164">
        <f t="shared" ref="I436:K436" si="464">$H436*I$432</f>
        <v>1544400</v>
      </c>
      <c r="J436" s="164">
        <f t="shared" si="464"/>
        <v>1544400</v>
      </c>
      <c r="K436" s="164">
        <f t="shared" si="464"/>
        <v>1544400</v>
      </c>
      <c r="L436" s="111"/>
      <c r="M436" s="111"/>
      <c r="N436" s="111"/>
      <c r="O436" s="111"/>
      <c r="P436" s="111"/>
      <c r="Q436" s="111"/>
      <c r="R436" s="111"/>
      <c r="S436" s="712"/>
      <c r="T436" s="169" t="s">
        <v>946</v>
      </c>
      <c r="U436" s="169" t="s">
        <v>946</v>
      </c>
      <c r="V436" s="121" t="s">
        <v>989</v>
      </c>
      <c r="W436" s="121" t="s">
        <v>789</v>
      </c>
      <c r="X436" s="170">
        <f>$G$425*3</f>
        <v>468</v>
      </c>
      <c r="Y436" s="200">
        <f t="shared" si="456"/>
        <v>3300</v>
      </c>
      <c r="Z436" s="167">
        <f t="shared" si="457"/>
        <v>1544400</v>
      </c>
      <c r="AA436" s="164">
        <f>$G$425*3</f>
        <v>468</v>
      </c>
      <c r="AB436" s="200">
        <f t="shared" si="458"/>
        <v>3300</v>
      </c>
      <c r="AC436" s="167">
        <f t="shared" si="459"/>
        <v>1544400</v>
      </c>
      <c r="AD436" s="164">
        <f>$G$425*3</f>
        <v>468</v>
      </c>
      <c r="AE436" s="200">
        <f t="shared" si="460"/>
        <v>3300</v>
      </c>
      <c r="AF436" s="167">
        <f t="shared" si="461"/>
        <v>1544400</v>
      </c>
      <c r="AG436" s="67"/>
    </row>
    <row r="437" spans="1:33">
      <c r="A437" s="134"/>
      <c r="B437" s="153">
        <v>4</v>
      </c>
      <c r="C437" s="121" t="s">
        <v>1045</v>
      </c>
      <c r="D437" s="121"/>
      <c r="E437" s="209"/>
      <c r="F437" s="164"/>
      <c r="G437" s="164">
        <v>0.1</v>
      </c>
      <c r="H437" s="164">
        <f>SUM(H434:H436)*0.1</f>
        <v>29.605318700396822</v>
      </c>
      <c r="I437" s="164">
        <f t="shared" ref="I437:K437" si="465">$H437*I$432</f>
        <v>293092.65513392852</v>
      </c>
      <c r="J437" s="164">
        <f t="shared" si="465"/>
        <v>293092.65513392852</v>
      </c>
      <c r="K437" s="164">
        <f t="shared" si="465"/>
        <v>293092.65513392852</v>
      </c>
      <c r="L437" s="111"/>
      <c r="M437" s="111"/>
      <c r="N437" s="111"/>
      <c r="O437" s="111"/>
      <c r="P437" s="111"/>
      <c r="Q437" s="111"/>
      <c r="R437" s="111"/>
      <c r="S437" s="712"/>
      <c r="T437" s="169" t="s">
        <v>946</v>
      </c>
      <c r="U437" s="169" t="s">
        <v>946</v>
      </c>
      <c r="V437" s="121" t="s">
        <v>875</v>
      </c>
      <c r="W437" s="121" t="s">
        <v>961</v>
      </c>
      <c r="X437" s="170">
        <f>'Assumptions HR_AUN'!$D$4*3</f>
        <v>88211.039066799218</v>
      </c>
      <c r="Y437" s="200">
        <f t="shared" si="456"/>
        <v>3.3226301178923809</v>
      </c>
      <c r="Z437" s="167">
        <f t="shared" si="457"/>
        <v>293092.65513392852</v>
      </c>
      <c r="AA437" s="164">
        <f t="shared" ref="AA437:AA438" si="466">X437</f>
        <v>88211.039066799218</v>
      </c>
      <c r="AB437" s="200">
        <f t="shared" si="458"/>
        <v>3.3226301178923809</v>
      </c>
      <c r="AC437" s="167">
        <f t="shared" si="459"/>
        <v>293092.65513392852</v>
      </c>
      <c r="AD437" s="164">
        <f t="shared" ref="AD437:AD438" si="467">AA437</f>
        <v>88211.039066799218</v>
      </c>
      <c r="AE437" s="200">
        <f t="shared" si="460"/>
        <v>3.3226301178923809</v>
      </c>
      <c r="AF437" s="167">
        <f t="shared" si="461"/>
        <v>293092.65513392852</v>
      </c>
      <c r="AG437" s="67"/>
    </row>
    <row r="438" spans="1:33">
      <c r="A438" s="134"/>
      <c r="B438" s="153">
        <v>5</v>
      </c>
      <c r="C438" s="121" t="s">
        <v>1046</v>
      </c>
      <c r="D438" s="121"/>
      <c r="E438" s="153"/>
      <c r="F438" s="153"/>
      <c r="G438" s="164">
        <v>0.15</v>
      </c>
      <c r="H438" s="164">
        <f>SUM(H434:H436)*0.15</f>
        <v>44.407978050595233</v>
      </c>
      <c r="I438" s="164">
        <f t="shared" ref="I438:K438" si="468">$H438*I$432</f>
        <v>439638.98270089278</v>
      </c>
      <c r="J438" s="164">
        <f t="shared" si="468"/>
        <v>439638.98270089278</v>
      </c>
      <c r="K438" s="164">
        <f t="shared" si="468"/>
        <v>439638.98270089278</v>
      </c>
      <c r="L438" s="111"/>
      <c r="M438" s="111"/>
      <c r="N438" s="111"/>
      <c r="O438" s="111"/>
      <c r="P438" s="111"/>
      <c r="Q438" s="111"/>
      <c r="R438" s="111"/>
      <c r="S438" s="712"/>
      <c r="T438" s="169" t="s">
        <v>946</v>
      </c>
      <c r="U438" s="169" t="s">
        <v>946</v>
      </c>
      <c r="V438" s="121" t="s">
        <v>881</v>
      </c>
      <c r="W438" s="121" t="s">
        <v>964</v>
      </c>
      <c r="X438" s="170">
        <f>I438/4</f>
        <v>109909.7456752232</v>
      </c>
      <c r="Y438" s="200">
        <f t="shared" si="456"/>
        <v>4</v>
      </c>
      <c r="Z438" s="167">
        <f t="shared" si="457"/>
        <v>439638.98270089278</v>
      </c>
      <c r="AA438" s="164">
        <f t="shared" si="466"/>
        <v>109909.7456752232</v>
      </c>
      <c r="AB438" s="200">
        <f t="shared" si="458"/>
        <v>4</v>
      </c>
      <c r="AC438" s="167">
        <f t="shared" si="459"/>
        <v>439638.98270089278</v>
      </c>
      <c r="AD438" s="164">
        <f t="shared" si="467"/>
        <v>109909.7456752232</v>
      </c>
      <c r="AE438" s="200">
        <f t="shared" si="460"/>
        <v>4</v>
      </c>
      <c r="AF438" s="167">
        <f t="shared" si="461"/>
        <v>439638.98270089278</v>
      </c>
      <c r="AG438" s="67"/>
    </row>
    <row r="439" spans="1:33">
      <c r="A439" s="134"/>
      <c r="B439" s="212" t="s">
        <v>770</v>
      </c>
      <c r="C439" s="212"/>
      <c r="D439" s="212"/>
      <c r="E439" s="212"/>
      <c r="F439" s="212"/>
      <c r="G439" s="178"/>
      <c r="H439" s="178">
        <f t="shared" ref="H439:K439" si="469">SUM(H434:H438)</f>
        <v>370.06648375496025</v>
      </c>
      <c r="I439" s="178">
        <f t="shared" si="469"/>
        <v>3663658.1891741068</v>
      </c>
      <c r="J439" s="178">
        <f t="shared" si="469"/>
        <v>3663658.1891741068</v>
      </c>
      <c r="K439" s="178">
        <f t="shared" si="469"/>
        <v>3663658.1891741068</v>
      </c>
      <c r="L439" s="111"/>
      <c r="M439" s="111"/>
      <c r="N439" s="111"/>
      <c r="O439" s="111"/>
      <c r="P439" s="111"/>
      <c r="Q439" s="111"/>
      <c r="R439" s="111"/>
      <c r="S439" s="712"/>
      <c r="T439" s="111"/>
      <c r="U439" s="111"/>
      <c r="V439" s="111"/>
      <c r="W439" s="111"/>
      <c r="X439" s="132"/>
      <c r="Y439" s="133"/>
      <c r="Z439" s="132"/>
      <c r="AA439" s="132"/>
      <c r="AB439" s="133"/>
      <c r="AC439" s="132"/>
      <c r="AD439" s="132"/>
      <c r="AE439" s="133"/>
      <c r="AF439" s="132"/>
      <c r="AG439" s="67"/>
    </row>
    <row r="440" spans="1:33">
      <c r="A440" s="9"/>
      <c r="B440" s="111"/>
      <c r="C440" s="111"/>
      <c r="D440" s="111"/>
      <c r="E440" s="111"/>
      <c r="F440" s="111"/>
      <c r="G440" s="111"/>
      <c r="H440" s="151"/>
      <c r="I440" s="111"/>
      <c r="J440" s="111"/>
      <c r="K440" s="111"/>
      <c r="L440" s="111"/>
      <c r="M440" s="111"/>
      <c r="N440" s="111"/>
      <c r="O440" s="111"/>
      <c r="P440" s="111"/>
      <c r="Q440" s="111"/>
      <c r="R440" s="111"/>
      <c r="S440" s="712"/>
      <c r="T440" s="111"/>
      <c r="U440" s="111"/>
      <c r="V440" s="111"/>
      <c r="W440" s="111"/>
      <c r="X440" s="111"/>
      <c r="Y440" s="111"/>
      <c r="Z440" s="111"/>
      <c r="AA440" s="111"/>
      <c r="AB440" s="111"/>
      <c r="AC440" s="111"/>
      <c r="AD440" s="111"/>
      <c r="AE440" s="111"/>
      <c r="AF440" s="111"/>
      <c r="AG440" s="67"/>
    </row>
    <row r="441" spans="1:33">
      <c r="A441" s="9"/>
      <c r="B441" s="111"/>
      <c r="C441" s="111"/>
      <c r="D441" s="111"/>
      <c r="E441" s="111"/>
      <c r="F441" s="111"/>
      <c r="G441" s="111"/>
      <c r="H441" s="151"/>
      <c r="I441" s="111"/>
      <c r="J441" s="111"/>
      <c r="K441" s="111"/>
      <c r="L441" s="111"/>
      <c r="M441" s="111"/>
      <c r="N441" s="111"/>
      <c r="O441" s="111"/>
      <c r="P441" s="111"/>
      <c r="Q441" s="111"/>
      <c r="R441" s="111"/>
      <c r="S441" s="712"/>
      <c r="T441" s="111"/>
      <c r="U441" s="111"/>
      <c r="V441" s="111"/>
      <c r="W441" s="111"/>
      <c r="X441" s="111"/>
      <c r="Y441" s="111"/>
      <c r="Z441" s="111"/>
      <c r="AA441" s="111"/>
      <c r="AB441" s="111"/>
      <c r="AC441" s="111"/>
      <c r="AD441" s="111"/>
      <c r="AE441" s="111"/>
      <c r="AF441" s="111"/>
      <c r="AG441" s="67"/>
    </row>
    <row r="442" spans="1:33">
      <c r="A442" s="9"/>
      <c r="B442" s="111"/>
      <c r="C442" s="111"/>
      <c r="D442" s="111"/>
      <c r="E442" s="111"/>
      <c r="F442" s="111"/>
      <c r="G442" s="111"/>
      <c r="H442" s="111"/>
      <c r="I442" s="215"/>
      <c r="J442" s="215"/>
      <c r="K442" s="215"/>
      <c r="L442" s="111"/>
      <c r="M442" s="111"/>
      <c r="N442" s="111"/>
      <c r="O442" s="111"/>
      <c r="P442" s="111"/>
      <c r="Q442" s="111"/>
      <c r="R442" s="111"/>
      <c r="S442" s="712"/>
      <c r="T442" s="111"/>
      <c r="U442" s="111"/>
      <c r="V442" s="111"/>
      <c r="W442" s="111"/>
      <c r="X442" s="132"/>
      <c r="Y442" s="133"/>
      <c r="Z442" s="132"/>
      <c r="AA442" s="132"/>
      <c r="AB442" s="133"/>
      <c r="AC442" s="132"/>
      <c r="AD442" s="132"/>
      <c r="AE442" s="133"/>
      <c r="AF442" s="132"/>
      <c r="AG442" s="67"/>
    </row>
    <row r="443" spans="1:33">
      <c r="A443" s="9"/>
      <c r="B443" s="111"/>
      <c r="C443" s="111"/>
      <c r="D443" s="111"/>
      <c r="E443" s="111"/>
      <c r="F443" s="111"/>
      <c r="G443" s="111"/>
      <c r="H443" s="111"/>
      <c r="I443" s="67"/>
      <c r="J443" s="67"/>
      <c r="K443" s="67"/>
      <c r="L443" s="111"/>
      <c r="M443" s="111"/>
      <c r="N443" s="111"/>
      <c r="O443" s="111"/>
      <c r="P443" s="111"/>
      <c r="Q443" s="111"/>
      <c r="R443" s="111"/>
      <c r="S443" s="712"/>
      <c r="T443" s="111"/>
      <c r="U443" s="111"/>
      <c r="V443" s="111"/>
      <c r="W443" s="111"/>
      <c r="X443" s="132"/>
      <c r="Y443" s="133"/>
      <c r="Z443" s="132"/>
      <c r="AA443" s="132"/>
      <c r="AB443" s="133"/>
      <c r="AC443" s="132"/>
      <c r="AD443" s="132"/>
      <c r="AE443" s="133"/>
      <c r="AF443" s="132"/>
      <c r="AG443" s="67"/>
    </row>
    <row r="444" spans="1:33">
      <c r="A444" s="725">
        <v>24</v>
      </c>
      <c r="B444" s="726" t="e" vm="1">
        <f>'[2]AUN Budget'!$E$100</f>
        <v>#VALUE!</v>
      </c>
      <c r="C444" s="731"/>
      <c r="D444" s="731"/>
      <c r="E444" s="731"/>
      <c r="F444" s="731"/>
      <c r="G444" s="731"/>
      <c r="H444" s="731"/>
      <c r="I444" s="216">
        <v>4133</v>
      </c>
      <c r="J444" s="216">
        <v>4268</v>
      </c>
      <c r="K444" s="216">
        <v>4403</v>
      </c>
      <c r="L444" s="111"/>
      <c r="M444" s="111"/>
      <c r="N444" s="111"/>
      <c r="O444" s="111"/>
      <c r="P444" s="111"/>
      <c r="Q444" s="111"/>
      <c r="R444" s="111"/>
      <c r="S444" s="712"/>
      <c r="T444" s="111"/>
      <c r="U444" s="111"/>
      <c r="V444" s="111"/>
      <c r="W444" s="111"/>
      <c r="X444" s="132"/>
      <c r="Y444" s="133"/>
      <c r="Z444" s="132"/>
      <c r="AA444" s="132"/>
      <c r="AB444" s="133"/>
      <c r="AC444" s="132"/>
      <c r="AD444" s="132"/>
      <c r="AE444" s="133"/>
      <c r="AF444" s="132"/>
      <c r="AG444" s="67"/>
    </row>
    <row r="445" spans="1:33">
      <c r="A445" s="157" t="s">
        <v>28</v>
      </c>
      <c r="B445" s="113" t="s">
        <v>755</v>
      </c>
      <c r="C445" s="113" t="s">
        <v>966</v>
      </c>
      <c r="D445" s="113" t="s">
        <v>967</v>
      </c>
      <c r="E445" s="113" t="s">
        <v>968</v>
      </c>
      <c r="F445" s="113" t="s">
        <v>969</v>
      </c>
      <c r="G445" s="113" t="s">
        <v>970</v>
      </c>
      <c r="H445" s="113" t="s">
        <v>971</v>
      </c>
      <c r="I445" s="113" t="s">
        <v>972</v>
      </c>
      <c r="J445" s="113" t="s">
        <v>973</v>
      </c>
      <c r="K445" s="113" t="s">
        <v>974</v>
      </c>
      <c r="L445" s="111"/>
      <c r="M445" s="111"/>
      <c r="N445" s="111"/>
      <c r="O445" s="182"/>
      <c r="P445" s="182"/>
      <c r="Q445" s="182"/>
      <c r="R445" s="182"/>
      <c r="S445" s="727"/>
      <c r="T445" s="159" t="s">
        <v>387</v>
      </c>
      <c r="U445" s="159" t="s">
        <v>388</v>
      </c>
      <c r="V445" s="159" t="s">
        <v>934</v>
      </c>
      <c r="W445" s="160" t="s">
        <v>935</v>
      </c>
      <c r="X445" s="161" t="s">
        <v>936</v>
      </c>
      <c r="Y445" s="162" t="s">
        <v>937</v>
      </c>
      <c r="Z445" s="161" t="s">
        <v>938</v>
      </c>
      <c r="AA445" s="161" t="s">
        <v>939</v>
      </c>
      <c r="AB445" s="162" t="s">
        <v>940</v>
      </c>
      <c r="AC445" s="161" t="s">
        <v>941</v>
      </c>
      <c r="AD445" s="161" t="s">
        <v>942</v>
      </c>
      <c r="AE445" s="162" t="s">
        <v>943</v>
      </c>
      <c r="AF445" s="161" t="s">
        <v>944</v>
      </c>
      <c r="AG445" s="67"/>
    </row>
    <row r="446" spans="1:33">
      <c r="A446" s="134"/>
      <c r="B446" s="153">
        <v>1</v>
      </c>
      <c r="C446" s="121" t="s">
        <v>978</v>
      </c>
      <c r="D446" s="121" t="s">
        <v>1165</v>
      </c>
      <c r="E446" s="209">
        <v>0.5</v>
      </c>
      <c r="F446" s="164">
        <v>12</v>
      </c>
      <c r="G446" s="164">
        <f>'Assumptions HR_AUN'!$F$8</f>
        <v>80.053187003968247</v>
      </c>
      <c r="H446" s="164">
        <f t="shared" ref="H446:H447" si="470">E446*F446*G446</f>
        <v>480.31912202380948</v>
      </c>
      <c r="I446" s="164">
        <f t="shared" ref="I446:K446" si="471">$H446*I$444</f>
        <v>1985158.9313244047</v>
      </c>
      <c r="J446" s="164">
        <f t="shared" si="471"/>
        <v>2050002.012797619</v>
      </c>
      <c r="K446" s="164">
        <f t="shared" si="471"/>
        <v>2114845.0942708333</v>
      </c>
      <c r="L446" s="111"/>
      <c r="M446" s="111"/>
      <c r="N446" s="111"/>
      <c r="O446" s="111"/>
      <c r="P446" s="111"/>
      <c r="Q446" s="111"/>
      <c r="R446" s="111"/>
      <c r="S446" s="712"/>
      <c r="T446" s="169" t="s">
        <v>946</v>
      </c>
      <c r="U446" s="169" t="s">
        <v>946</v>
      </c>
      <c r="V446" s="121" t="s">
        <v>977</v>
      </c>
      <c r="W446" s="121" t="s">
        <v>961</v>
      </c>
      <c r="X446" s="170">
        <f t="shared" ref="X446:X447" si="472">G446*$D$35*$D$36</f>
        <v>40346.806249999994</v>
      </c>
      <c r="Y446" s="200">
        <f t="shared" ref="Y446:Y452" si="473">I446/X446</f>
        <v>49.202380952380956</v>
      </c>
      <c r="Z446" s="167">
        <f t="shared" ref="Z446:Z452" si="474">X446*Y446</f>
        <v>1985158.9313244047</v>
      </c>
      <c r="AA446" s="164">
        <f t="shared" ref="AA446:AA450" si="475">X446</f>
        <v>40346.806249999994</v>
      </c>
      <c r="AB446" s="200">
        <f t="shared" ref="AB446:AB452" si="476">J446/AA446</f>
        <v>50.809523809523817</v>
      </c>
      <c r="AC446" s="167">
        <f t="shared" ref="AC446:AC452" si="477">AA446*AB446</f>
        <v>2050002.012797619</v>
      </c>
      <c r="AD446" s="164">
        <f t="shared" ref="AD446:AD450" si="478">AA446</f>
        <v>40346.806249999994</v>
      </c>
      <c r="AE446" s="200">
        <f t="shared" ref="AE446:AE452" si="479">K446/AD446</f>
        <v>52.416666666666671</v>
      </c>
      <c r="AF446" s="167">
        <f t="shared" ref="AF446:AF452" si="480">AD446*AE446</f>
        <v>2114845.0942708333</v>
      </c>
      <c r="AG446" s="67"/>
    </row>
    <row r="447" spans="1:33">
      <c r="A447" s="134"/>
      <c r="B447" s="153">
        <v>2</v>
      </c>
      <c r="C447" s="121" t="s">
        <v>978</v>
      </c>
      <c r="D447" s="121" t="s">
        <v>1166</v>
      </c>
      <c r="E447" s="209">
        <v>1</v>
      </c>
      <c r="F447" s="164">
        <v>12</v>
      </c>
      <c r="G447" s="164">
        <f>'Assumptions HR_AUN'!$F$8</f>
        <v>80.053187003968247</v>
      </c>
      <c r="H447" s="164">
        <f t="shared" si="470"/>
        <v>960.63824404761897</v>
      </c>
      <c r="I447" s="164">
        <f t="shared" ref="I447:K447" si="481">$H447*I$444</f>
        <v>3970317.8626488093</v>
      </c>
      <c r="J447" s="164">
        <f t="shared" si="481"/>
        <v>4100004.025595238</v>
      </c>
      <c r="K447" s="164">
        <f t="shared" si="481"/>
        <v>4229690.1885416666</v>
      </c>
      <c r="L447" s="111"/>
      <c r="M447" s="111"/>
      <c r="N447" s="111"/>
      <c r="O447" s="111"/>
      <c r="P447" s="111"/>
      <c r="Q447" s="111"/>
      <c r="R447" s="111"/>
      <c r="S447" s="712"/>
      <c r="T447" s="169" t="s">
        <v>946</v>
      </c>
      <c r="U447" s="169" t="s">
        <v>946</v>
      </c>
      <c r="V447" s="121" t="s">
        <v>977</v>
      </c>
      <c r="W447" s="121" t="s">
        <v>961</v>
      </c>
      <c r="X447" s="170">
        <f t="shared" si="472"/>
        <v>40346.806249999994</v>
      </c>
      <c r="Y447" s="200">
        <f t="shared" si="473"/>
        <v>98.404761904761912</v>
      </c>
      <c r="Z447" s="167">
        <f t="shared" si="474"/>
        <v>3970317.8626488093</v>
      </c>
      <c r="AA447" s="164">
        <f t="shared" si="475"/>
        <v>40346.806249999994</v>
      </c>
      <c r="AB447" s="200">
        <f t="shared" si="476"/>
        <v>101.61904761904763</v>
      </c>
      <c r="AC447" s="167">
        <f t="shared" si="477"/>
        <v>4100004.025595238</v>
      </c>
      <c r="AD447" s="164">
        <f t="shared" si="478"/>
        <v>40346.806249999994</v>
      </c>
      <c r="AE447" s="200">
        <f t="shared" si="479"/>
        <v>104.83333333333334</v>
      </c>
      <c r="AF447" s="167">
        <f t="shared" si="480"/>
        <v>4229690.1885416666</v>
      </c>
      <c r="AG447" s="67"/>
    </row>
    <row r="448" spans="1:33">
      <c r="A448" s="134"/>
      <c r="B448" s="153">
        <v>3</v>
      </c>
      <c r="C448" s="121" t="s">
        <v>987</v>
      </c>
      <c r="D448" s="121" t="s">
        <v>1167</v>
      </c>
      <c r="E448" s="209"/>
      <c r="F448" s="164">
        <v>1</v>
      </c>
      <c r="G448" s="164">
        <f>$D$27</f>
        <v>300</v>
      </c>
      <c r="H448" s="164">
        <f t="shared" ref="H448:H450" si="482">F448*G448</f>
        <v>300</v>
      </c>
      <c r="I448" s="164">
        <f t="shared" ref="I448:K448" si="483">$H448*I$444</f>
        <v>1239900</v>
      </c>
      <c r="J448" s="164">
        <f t="shared" si="483"/>
        <v>1280400</v>
      </c>
      <c r="K448" s="164">
        <f t="shared" si="483"/>
        <v>1320900</v>
      </c>
      <c r="L448" s="111"/>
      <c r="M448" s="111"/>
      <c r="N448" s="111"/>
      <c r="O448" s="111"/>
      <c r="P448" s="111"/>
      <c r="Q448" s="111"/>
      <c r="R448" s="111"/>
      <c r="S448" s="712"/>
      <c r="T448" s="169" t="s">
        <v>946</v>
      </c>
      <c r="U448" s="169" t="s">
        <v>946</v>
      </c>
      <c r="V448" s="121" t="s">
        <v>994</v>
      </c>
      <c r="W448" s="121" t="s">
        <v>789</v>
      </c>
      <c r="X448" s="170">
        <f t="shared" ref="X448:X449" si="484">$H$448</f>
        <v>300</v>
      </c>
      <c r="Y448" s="200">
        <f t="shared" si="473"/>
        <v>4133</v>
      </c>
      <c r="Z448" s="167">
        <f t="shared" si="474"/>
        <v>1239900</v>
      </c>
      <c r="AA448" s="164">
        <f t="shared" si="475"/>
        <v>300</v>
      </c>
      <c r="AB448" s="200">
        <f t="shared" si="476"/>
        <v>4268</v>
      </c>
      <c r="AC448" s="167">
        <f t="shared" si="477"/>
        <v>1280400</v>
      </c>
      <c r="AD448" s="164">
        <f t="shared" si="478"/>
        <v>300</v>
      </c>
      <c r="AE448" s="200">
        <f t="shared" si="479"/>
        <v>4403</v>
      </c>
      <c r="AF448" s="167">
        <f t="shared" si="480"/>
        <v>1320900</v>
      </c>
      <c r="AG448" s="67"/>
    </row>
    <row r="449" spans="1:33">
      <c r="A449" s="134"/>
      <c r="B449" s="153">
        <v>4</v>
      </c>
      <c r="C449" s="121" t="s">
        <v>992</v>
      </c>
      <c r="D449" s="121" t="s">
        <v>1168</v>
      </c>
      <c r="E449" s="209"/>
      <c r="F449" s="164">
        <v>0.4</v>
      </c>
      <c r="G449" s="164">
        <f>$D$23</f>
        <v>1025</v>
      </c>
      <c r="H449" s="164">
        <f t="shared" si="482"/>
        <v>410</v>
      </c>
      <c r="I449" s="164">
        <f t="shared" ref="I449:K449" si="485">$H449*I$444</f>
        <v>1694530</v>
      </c>
      <c r="J449" s="164">
        <f t="shared" si="485"/>
        <v>1749880</v>
      </c>
      <c r="K449" s="164">
        <f t="shared" si="485"/>
        <v>1805230</v>
      </c>
      <c r="L449" s="111"/>
      <c r="M449" s="111"/>
      <c r="N449" s="111"/>
      <c r="O449" s="111"/>
      <c r="P449" s="111"/>
      <c r="Q449" s="111"/>
      <c r="R449" s="111"/>
      <c r="S449" s="712"/>
      <c r="T449" s="169" t="s">
        <v>946</v>
      </c>
      <c r="U449" s="169" t="s">
        <v>946</v>
      </c>
      <c r="V449" s="121" t="s">
        <v>994</v>
      </c>
      <c r="W449" s="121" t="s">
        <v>789</v>
      </c>
      <c r="X449" s="170">
        <f t="shared" si="484"/>
        <v>300</v>
      </c>
      <c r="Y449" s="200">
        <f t="shared" si="473"/>
        <v>5648.4333333333334</v>
      </c>
      <c r="Z449" s="167">
        <f t="shared" si="474"/>
        <v>1694530</v>
      </c>
      <c r="AA449" s="164">
        <f t="shared" si="475"/>
        <v>300</v>
      </c>
      <c r="AB449" s="200">
        <f t="shared" si="476"/>
        <v>5832.9333333333334</v>
      </c>
      <c r="AC449" s="167">
        <f t="shared" si="477"/>
        <v>1749880</v>
      </c>
      <c r="AD449" s="164">
        <f t="shared" si="478"/>
        <v>300</v>
      </c>
      <c r="AE449" s="200">
        <f t="shared" si="479"/>
        <v>6017.4333333333334</v>
      </c>
      <c r="AF449" s="167">
        <f t="shared" si="480"/>
        <v>1805230</v>
      </c>
      <c r="AG449" s="67"/>
    </row>
    <row r="450" spans="1:33">
      <c r="A450" s="134"/>
      <c r="B450" s="153">
        <v>5</v>
      </c>
      <c r="C450" s="121" t="s">
        <v>985</v>
      </c>
      <c r="D450" s="121" t="s">
        <v>1169</v>
      </c>
      <c r="E450" s="209"/>
      <c r="F450" s="164">
        <v>0.5</v>
      </c>
      <c r="G450" s="226">
        <f>$D$31</f>
        <v>798</v>
      </c>
      <c r="H450" s="164">
        <f t="shared" si="482"/>
        <v>399</v>
      </c>
      <c r="I450" s="164">
        <f t="shared" ref="I450:K450" si="486">$H450*I$444</f>
        <v>1649067</v>
      </c>
      <c r="J450" s="164">
        <f t="shared" si="486"/>
        <v>1702932</v>
      </c>
      <c r="K450" s="164">
        <f t="shared" si="486"/>
        <v>1756797</v>
      </c>
      <c r="L450" s="111"/>
      <c r="M450" s="111"/>
      <c r="N450" s="111"/>
      <c r="O450" s="111"/>
      <c r="P450" s="111"/>
      <c r="Q450" s="111"/>
      <c r="R450" s="111"/>
      <c r="S450" s="712"/>
      <c r="T450" s="169" t="s">
        <v>946</v>
      </c>
      <c r="U450" s="169" t="s">
        <v>946</v>
      </c>
      <c r="V450" s="121" t="s">
        <v>957</v>
      </c>
      <c r="W450" s="121" t="s">
        <v>789</v>
      </c>
      <c r="X450" s="170">
        <f>H450</f>
        <v>399</v>
      </c>
      <c r="Y450" s="200">
        <f t="shared" si="473"/>
        <v>4133</v>
      </c>
      <c r="Z450" s="167">
        <f t="shared" si="474"/>
        <v>1649067</v>
      </c>
      <c r="AA450" s="164">
        <f t="shared" si="475"/>
        <v>399</v>
      </c>
      <c r="AB450" s="200">
        <f t="shared" si="476"/>
        <v>4268</v>
      </c>
      <c r="AC450" s="167">
        <f t="shared" si="477"/>
        <v>1702932</v>
      </c>
      <c r="AD450" s="164">
        <f t="shared" si="478"/>
        <v>399</v>
      </c>
      <c r="AE450" s="200">
        <f t="shared" si="479"/>
        <v>4403</v>
      </c>
      <c r="AF450" s="167">
        <f t="shared" si="480"/>
        <v>1756797</v>
      </c>
      <c r="AG450" s="67"/>
    </row>
    <row r="451" spans="1:33">
      <c r="A451" s="134"/>
      <c r="B451" s="153">
        <v>6</v>
      </c>
      <c r="C451" s="121" t="s">
        <v>1001</v>
      </c>
      <c r="D451" s="121"/>
      <c r="E451" s="209"/>
      <c r="F451" s="164"/>
      <c r="G451" s="185">
        <f>$C$13</f>
        <v>0.1</v>
      </c>
      <c r="H451" s="164">
        <f>SUM(H446:H450)*G451</f>
        <v>254.99573660714287</v>
      </c>
      <c r="I451" s="164">
        <f t="shared" ref="I451:K451" si="487">$H451*I$444</f>
        <v>1053897.3793973215</v>
      </c>
      <c r="J451" s="164">
        <f t="shared" si="487"/>
        <v>1088321.8038392859</v>
      </c>
      <c r="K451" s="164">
        <f t="shared" si="487"/>
        <v>1122746.22828125</v>
      </c>
      <c r="L451" s="111"/>
      <c r="M451" s="111"/>
      <c r="N451" s="111"/>
      <c r="O451" s="111"/>
      <c r="P451" s="111"/>
      <c r="Q451" s="111"/>
      <c r="R451" s="111"/>
      <c r="S451" s="712"/>
      <c r="T451" s="169" t="s">
        <v>946</v>
      </c>
      <c r="U451" s="169" t="s">
        <v>946</v>
      </c>
      <c r="V451" s="121" t="s">
        <v>875</v>
      </c>
      <c r="W451" s="121" t="s">
        <v>961</v>
      </c>
      <c r="X451" s="170">
        <f>'Assumptions HR_AUN'!$D$4*3</f>
        <v>88211.039066799218</v>
      </c>
      <c r="Y451" s="200">
        <f t="shared" si="473"/>
        <v>11.947454542500523</v>
      </c>
      <c r="Z451" s="167">
        <f t="shared" si="474"/>
        <v>1053897.3793973215</v>
      </c>
      <c r="AA451" s="164">
        <f>'Assumptions HR_AUN'!$D$4*3</f>
        <v>88211.039066799218</v>
      </c>
      <c r="AB451" s="200">
        <f t="shared" si="476"/>
        <v>12.337705295763909</v>
      </c>
      <c r="AC451" s="167">
        <f t="shared" si="477"/>
        <v>1088321.8038392859</v>
      </c>
      <c r="AD451" s="164">
        <f>'Assumptions HR_AUN'!$D$4*3</f>
        <v>88211.039066799218</v>
      </c>
      <c r="AE451" s="200">
        <f t="shared" si="479"/>
        <v>12.727956049027293</v>
      </c>
      <c r="AF451" s="167">
        <f t="shared" si="480"/>
        <v>1122746.22828125</v>
      </c>
      <c r="AG451" s="67"/>
    </row>
    <row r="452" spans="1:33">
      <c r="A452" s="134"/>
      <c r="B452" s="153">
        <v>7</v>
      </c>
      <c r="C452" s="121" t="s">
        <v>962</v>
      </c>
      <c r="D452" s="121"/>
      <c r="E452" s="209"/>
      <c r="F452" s="121"/>
      <c r="G452" s="185">
        <f>$C$14</f>
        <v>0.15</v>
      </c>
      <c r="H452" s="164">
        <f>SUM(H446:H450)*G452</f>
        <v>382.49360491071428</v>
      </c>
      <c r="I452" s="164">
        <f t="shared" ref="I452:K452" si="488">$H452*I$444</f>
        <v>1580846.0690959822</v>
      </c>
      <c r="J452" s="164">
        <f t="shared" si="488"/>
        <v>1632482.7057589286</v>
      </c>
      <c r="K452" s="164">
        <f t="shared" si="488"/>
        <v>1684119.3424218749</v>
      </c>
      <c r="L452" s="111"/>
      <c r="M452" s="111"/>
      <c r="N452" s="111"/>
      <c r="O452" s="111"/>
      <c r="P452" s="111"/>
      <c r="Q452" s="111"/>
      <c r="R452" s="111"/>
      <c r="S452" s="712"/>
      <c r="T452" s="169" t="s">
        <v>946</v>
      </c>
      <c r="U452" s="169" t="s">
        <v>946</v>
      </c>
      <c r="V452" s="121" t="s">
        <v>881</v>
      </c>
      <c r="W452" s="121" t="s">
        <v>964</v>
      </c>
      <c r="X452" s="170">
        <f>I452/4</f>
        <v>395211.51727399556</v>
      </c>
      <c r="Y452" s="200">
        <f t="shared" si="473"/>
        <v>4</v>
      </c>
      <c r="Z452" s="167">
        <f t="shared" si="474"/>
        <v>1580846.0690959822</v>
      </c>
      <c r="AA452" s="164">
        <f>J452/4</f>
        <v>408120.67643973214</v>
      </c>
      <c r="AB452" s="200">
        <f t="shared" si="476"/>
        <v>4</v>
      </c>
      <c r="AC452" s="167">
        <f t="shared" si="477"/>
        <v>1632482.7057589286</v>
      </c>
      <c r="AD452" s="164">
        <f>K452/4</f>
        <v>421029.83560546872</v>
      </c>
      <c r="AE452" s="200">
        <f t="shared" si="479"/>
        <v>4</v>
      </c>
      <c r="AF452" s="167">
        <f t="shared" si="480"/>
        <v>1684119.3424218749</v>
      </c>
      <c r="AG452" s="67"/>
    </row>
    <row r="453" spans="1:33">
      <c r="A453" s="134"/>
      <c r="B453" s="212" t="s">
        <v>770</v>
      </c>
      <c r="C453" s="212"/>
      <c r="D453" s="212"/>
      <c r="E453" s="212"/>
      <c r="F453" s="212"/>
      <c r="G453" s="178"/>
      <c r="H453" s="178">
        <f t="shared" ref="H453:K453" si="489">SUM(H446:H452)</f>
        <v>3187.4467075892858</v>
      </c>
      <c r="I453" s="178">
        <f t="shared" si="489"/>
        <v>13173717.242466519</v>
      </c>
      <c r="J453" s="178">
        <f t="shared" si="489"/>
        <v>13604022.547991071</v>
      </c>
      <c r="K453" s="178">
        <f t="shared" si="489"/>
        <v>14034327.853515625</v>
      </c>
      <c r="L453" s="111"/>
      <c r="M453" s="111"/>
      <c r="N453" s="111"/>
      <c r="O453" s="111"/>
      <c r="P453" s="111"/>
      <c r="Q453" s="111"/>
      <c r="R453" s="111"/>
      <c r="S453" s="712"/>
      <c r="T453" s="111"/>
      <c r="U453" s="111"/>
      <c r="V453" s="111"/>
      <c r="W453" s="111"/>
      <c r="X453" s="132"/>
      <c r="Y453" s="133"/>
      <c r="Z453" s="132"/>
      <c r="AA453" s="132"/>
      <c r="AB453" s="133"/>
      <c r="AC453" s="132"/>
      <c r="AD453" s="132"/>
      <c r="AE453" s="133"/>
      <c r="AF453" s="132"/>
      <c r="AG453" s="67"/>
    </row>
    <row r="454" spans="1:33">
      <c r="A454" s="9"/>
      <c r="B454" s="111"/>
      <c r="C454" s="111"/>
      <c r="D454" s="111"/>
      <c r="E454" s="111"/>
      <c r="F454" s="111"/>
      <c r="G454" s="111"/>
      <c r="H454" s="151"/>
      <c r="I454" s="111"/>
      <c r="J454" s="111"/>
      <c r="K454" s="111"/>
      <c r="L454" s="111"/>
      <c r="M454" s="111"/>
      <c r="N454" s="111"/>
      <c r="O454" s="111"/>
      <c r="P454" s="111"/>
      <c r="Q454" s="111"/>
      <c r="R454" s="111"/>
      <c r="S454" s="712"/>
      <c r="T454" s="111"/>
      <c r="U454" s="111"/>
      <c r="V454" s="111"/>
      <c r="W454" s="111"/>
      <c r="X454" s="111"/>
      <c r="Y454" s="111"/>
      <c r="Z454" s="111"/>
      <c r="AA454" s="111"/>
      <c r="AB454" s="111"/>
      <c r="AC454" s="111"/>
      <c r="AD454" s="111"/>
      <c r="AE454" s="111"/>
      <c r="AF454" s="111"/>
      <c r="AG454" s="67"/>
    </row>
    <row r="455" spans="1:33">
      <c r="A455" s="9"/>
      <c r="B455" s="111"/>
      <c r="C455" s="111"/>
      <c r="D455" s="111"/>
      <c r="E455" s="111"/>
      <c r="F455" s="111"/>
      <c r="G455" s="111"/>
      <c r="H455" s="151"/>
      <c r="I455" s="111"/>
      <c r="J455" s="111"/>
      <c r="K455" s="111"/>
      <c r="L455" s="111"/>
      <c r="M455" s="111"/>
      <c r="N455" s="111"/>
      <c r="O455" s="111"/>
      <c r="P455" s="111"/>
      <c r="Q455" s="111"/>
      <c r="R455" s="111"/>
      <c r="S455" s="712"/>
      <c r="T455" s="111"/>
      <c r="U455" s="111"/>
      <c r="V455" s="111"/>
      <c r="W455" s="111"/>
      <c r="X455" s="111"/>
      <c r="Y455" s="111"/>
      <c r="Z455" s="111"/>
      <c r="AA455" s="111"/>
      <c r="AB455" s="111"/>
      <c r="AC455" s="111"/>
      <c r="AD455" s="111"/>
      <c r="AE455" s="111"/>
      <c r="AF455" s="111"/>
      <c r="AG455" s="67"/>
    </row>
    <row r="456" spans="1:33">
      <c r="A456" s="725">
        <v>25</v>
      </c>
      <c r="B456" s="726" t="e" vm="1">
        <f>'[2]AUN Budget'!$E$105</f>
        <v>#VALUE!</v>
      </c>
      <c r="C456" s="731"/>
      <c r="D456" s="731"/>
      <c r="E456" s="731"/>
      <c r="F456" s="731"/>
      <c r="G456" s="731"/>
      <c r="H456" s="731"/>
      <c r="I456" s="181">
        <v>550</v>
      </c>
      <c r="J456" s="216">
        <v>550</v>
      </c>
      <c r="K456" s="216">
        <v>550</v>
      </c>
      <c r="L456" s="111"/>
      <c r="M456" s="111"/>
      <c r="N456" s="111"/>
      <c r="O456" s="111"/>
      <c r="P456" s="111"/>
      <c r="Q456" s="111"/>
      <c r="R456" s="111"/>
      <c r="S456" s="712"/>
      <c r="T456" s="111"/>
      <c r="U456" s="111"/>
      <c r="V456" s="111"/>
      <c r="W456" s="111"/>
      <c r="X456" s="132"/>
      <c r="Y456" s="133"/>
      <c r="Z456" s="132"/>
      <c r="AA456" s="132"/>
      <c r="AB456" s="133"/>
      <c r="AC456" s="132"/>
      <c r="AD456" s="132"/>
      <c r="AE456" s="133"/>
      <c r="AF456" s="132"/>
      <c r="AG456" s="67"/>
    </row>
    <row r="457" spans="1:33">
      <c r="A457" s="157" t="s">
        <v>60</v>
      </c>
      <c r="B457" s="113" t="s">
        <v>755</v>
      </c>
      <c r="C457" s="113" t="s">
        <v>966</v>
      </c>
      <c r="D457" s="113" t="s">
        <v>967</v>
      </c>
      <c r="E457" s="113" t="s">
        <v>968</v>
      </c>
      <c r="F457" s="113" t="s">
        <v>969</v>
      </c>
      <c r="G457" s="113" t="s">
        <v>970</v>
      </c>
      <c r="H457" s="113" t="s">
        <v>971</v>
      </c>
      <c r="I457" s="113" t="s">
        <v>972</v>
      </c>
      <c r="J457" s="113" t="s">
        <v>973</v>
      </c>
      <c r="K457" s="113" t="s">
        <v>974</v>
      </c>
      <c r="L457" s="111"/>
      <c r="M457" s="111"/>
      <c r="N457" s="111"/>
      <c r="O457" s="111"/>
      <c r="P457" s="182"/>
      <c r="Q457" s="182"/>
      <c r="R457" s="182"/>
      <c r="S457" s="727"/>
      <c r="T457" s="159" t="s">
        <v>387</v>
      </c>
      <c r="U457" s="159" t="s">
        <v>388</v>
      </c>
      <c r="V457" s="159" t="s">
        <v>934</v>
      </c>
      <c r="W457" s="160" t="s">
        <v>935</v>
      </c>
      <c r="X457" s="161" t="s">
        <v>936</v>
      </c>
      <c r="Y457" s="162" t="s">
        <v>937</v>
      </c>
      <c r="Z457" s="161" t="s">
        <v>938</v>
      </c>
      <c r="AA457" s="161" t="s">
        <v>939</v>
      </c>
      <c r="AB457" s="162" t="s">
        <v>940</v>
      </c>
      <c r="AC457" s="161" t="s">
        <v>941</v>
      </c>
      <c r="AD457" s="161" t="s">
        <v>942</v>
      </c>
      <c r="AE457" s="162" t="s">
        <v>943</v>
      </c>
      <c r="AF457" s="161" t="s">
        <v>944</v>
      </c>
      <c r="AG457" s="67"/>
    </row>
    <row r="458" spans="1:33">
      <c r="A458" s="134"/>
      <c r="B458" s="153">
        <v>1</v>
      </c>
      <c r="C458" s="121" t="s">
        <v>978</v>
      </c>
      <c r="D458" s="121" t="s">
        <v>1170</v>
      </c>
      <c r="E458" s="209">
        <v>0.5</v>
      </c>
      <c r="F458" s="164">
        <v>12</v>
      </c>
      <c r="G458" s="164">
        <f>'Assumptions HR_AUN'!$F$8</f>
        <v>80.053187003968247</v>
      </c>
      <c r="H458" s="164">
        <f t="shared" ref="H458:H461" si="490">E458*F458*G458</f>
        <v>480.31912202380948</v>
      </c>
      <c r="I458" s="164">
        <f t="shared" ref="I458:K458" si="491">$H458*I$456</f>
        <v>264175.51711309521</v>
      </c>
      <c r="J458" s="164">
        <f t="shared" si="491"/>
        <v>264175.51711309521</v>
      </c>
      <c r="K458" s="164">
        <f t="shared" si="491"/>
        <v>264175.51711309521</v>
      </c>
      <c r="L458" s="111"/>
      <c r="M458" s="111"/>
      <c r="N458" s="111"/>
      <c r="O458" s="111"/>
      <c r="P458" s="111"/>
      <c r="Q458" s="111"/>
      <c r="R458" s="111"/>
      <c r="S458" s="712"/>
      <c r="T458" s="169" t="s">
        <v>946</v>
      </c>
      <c r="U458" s="169" t="s">
        <v>946</v>
      </c>
      <c r="V458" s="121" t="s">
        <v>977</v>
      </c>
      <c r="W458" s="121" t="s">
        <v>961</v>
      </c>
      <c r="X458" s="170">
        <f t="shared" ref="X458:X459" si="492">G458*$D$35*$D$36</f>
        <v>40346.806249999994</v>
      </c>
      <c r="Y458" s="200">
        <f t="shared" ref="Y458:Y469" si="493">I458/X458</f>
        <v>6.5476190476190474</v>
      </c>
      <c r="Z458" s="167">
        <f t="shared" ref="Z458:Z469" si="494">X458*Y458</f>
        <v>264175.51711309521</v>
      </c>
      <c r="AA458" s="164">
        <f t="shared" ref="AA458:AA468" si="495">X458</f>
        <v>40346.806249999994</v>
      </c>
      <c r="AB458" s="200">
        <f t="shared" ref="AB458:AB469" si="496">J458/AA458</f>
        <v>6.5476190476190474</v>
      </c>
      <c r="AC458" s="167">
        <f t="shared" ref="AC458:AC469" si="497">AA458*AB458</f>
        <v>264175.51711309521</v>
      </c>
      <c r="AD458" s="164">
        <f t="shared" ref="AD458:AD469" si="498">AA458</f>
        <v>40346.806249999994</v>
      </c>
      <c r="AE458" s="200">
        <f t="shared" ref="AE458:AE469" si="499">K458/AD458</f>
        <v>6.5476190476190474</v>
      </c>
      <c r="AF458" s="167">
        <f t="shared" ref="AF458:AF469" si="500">AD458*AE458</f>
        <v>264175.51711309521</v>
      </c>
      <c r="AG458" s="67"/>
    </row>
    <row r="459" spans="1:33">
      <c r="A459" s="134"/>
      <c r="B459" s="153">
        <v>2</v>
      </c>
      <c r="C459" s="121" t="s">
        <v>978</v>
      </c>
      <c r="D459" s="121" t="s">
        <v>1171</v>
      </c>
      <c r="E459" s="209">
        <v>0.1</v>
      </c>
      <c r="F459" s="164">
        <v>12</v>
      </c>
      <c r="G459" s="164">
        <f>'Assumptions HR_AUN'!$F$8</f>
        <v>80.053187003968247</v>
      </c>
      <c r="H459" s="164">
        <f t="shared" si="490"/>
        <v>96.063824404761917</v>
      </c>
      <c r="I459" s="164">
        <f t="shared" ref="I459:K459" si="501">$H459*I$456</f>
        <v>52835.103422619053</v>
      </c>
      <c r="J459" s="164">
        <f t="shared" si="501"/>
        <v>52835.103422619053</v>
      </c>
      <c r="K459" s="164">
        <f t="shared" si="501"/>
        <v>52835.103422619053</v>
      </c>
      <c r="L459" s="111"/>
      <c r="M459" s="111"/>
      <c r="N459" s="111"/>
      <c r="O459" s="111"/>
      <c r="P459" s="111"/>
      <c r="Q459" s="111"/>
      <c r="R459" s="111"/>
      <c r="S459" s="712"/>
      <c r="T459" s="169" t="s">
        <v>946</v>
      </c>
      <c r="U459" s="169" t="s">
        <v>946</v>
      </c>
      <c r="V459" s="121" t="s">
        <v>977</v>
      </c>
      <c r="W459" s="121" t="s">
        <v>961</v>
      </c>
      <c r="X459" s="170">
        <f t="shared" si="492"/>
        <v>40346.806249999994</v>
      </c>
      <c r="Y459" s="200">
        <f t="shared" si="493"/>
        <v>1.3095238095238098</v>
      </c>
      <c r="Z459" s="167">
        <f t="shared" si="494"/>
        <v>52835.103422619046</v>
      </c>
      <c r="AA459" s="164">
        <f t="shared" si="495"/>
        <v>40346.806249999994</v>
      </c>
      <c r="AB459" s="200">
        <f t="shared" si="496"/>
        <v>1.3095238095238098</v>
      </c>
      <c r="AC459" s="167">
        <f t="shared" si="497"/>
        <v>52835.103422619046</v>
      </c>
      <c r="AD459" s="164">
        <f t="shared" si="498"/>
        <v>40346.806249999994</v>
      </c>
      <c r="AE459" s="200">
        <f t="shared" si="499"/>
        <v>1.3095238095238098</v>
      </c>
      <c r="AF459" s="167">
        <f t="shared" si="500"/>
        <v>52835.103422619046</v>
      </c>
      <c r="AG459" s="67"/>
    </row>
    <row r="460" spans="1:33">
      <c r="A460" s="134"/>
      <c r="B460" s="153">
        <v>3</v>
      </c>
      <c r="C460" s="121" t="s">
        <v>978</v>
      </c>
      <c r="D460" s="121" t="s">
        <v>1172</v>
      </c>
      <c r="E460" s="209">
        <v>0.5</v>
      </c>
      <c r="F460" s="164">
        <v>12</v>
      </c>
      <c r="G460" s="164">
        <f>'Assumptions HR_AUN'!$F$4</f>
        <v>175.0219029103159</v>
      </c>
      <c r="H460" s="164">
        <f t="shared" si="490"/>
        <v>1050.1314174618954</v>
      </c>
      <c r="I460" s="164">
        <f t="shared" ref="I460:K460" si="502">$H460*I$456</f>
        <v>577572.27960404241</v>
      </c>
      <c r="J460" s="164">
        <f t="shared" si="502"/>
        <v>577572.27960404241</v>
      </c>
      <c r="K460" s="164">
        <f t="shared" si="502"/>
        <v>577572.27960404241</v>
      </c>
      <c r="L460" s="111"/>
      <c r="M460" s="111"/>
      <c r="N460" s="111"/>
      <c r="O460" s="111"/>
      <c r="P460" s="111"/>
      <c r="Q460" s="111"/>
      <c r="R460" s="111"/>
      <c r="S460" s="712"/>
      <c r="T460" s="169" t="s">
        <v>946</v>
      </c>
      <c r="U460" s="169" t="s">
        <v>946</v>
      </c>
      <c r="V460" s="121" t="s">
        <v>848</v>
      </c>
      <c r="W460" s="164" t="s">
        <v>947</v>
      </c>
      <c r="X460" s="170">
        <f>'Assumptions HR_AUN'!$F$4*'Assumptions Other_AUN'!$D$35*'Assumptions Other_AUN'!$D$36/20</f>
        <v>4410.5519533399611</v>
      </c>
      <c r="Y460" s="200">
        <f t="shared" si="493"/>
        <v>130.95238095238093</v>
      </c>
      <c r="Z460" s="167">
        <f t="shared" si="494"/>
        <v>577572.27960404241</v>
      </c>
      <c r="AA460" s="164">
        <f t="shared" si="495"/>
        <v>4410.5519533399611</v>
      </c>
      <c r="AB460" s="200">
        <f t="shared" si="496"/>
        <v>130.95238095238093</v>
      </c>
      <c r="AC460" s="167">
        <f t="shared" si="497"/>
        <v>577572.27960404241</v>
      </c>
      <c r="AD460" s="164">
        <f t="shared" si="498"/>
        <v>4410.5519533399611</v>
      </c>
      <c r="AE460" s="200">
        <f t="shared" si="499"/>
        <v>130.95238095238093</v>
      </c>
      <c r="AF460" s="167">
        <f t="shared" si="500"/>
        <v>577572.27960404241</v>
      </c>
      <c r="AG460" s="67"/>
    </row>
    <row r="461" spans="1:33">
      <c r="A461" s="134"/>
      <c r="B461" s="153">
        <v>4</v>
      </c>
      <c r="C461" s="121" t="s">
        <v>978</v>
      </c>
      <c r="D461" s="121" t="s">
        <v>1173</v>
      </c>
      <c r="E461" s="209">
        <v>1</v>
      </c>
      <c r="F461" s="164">
        <v>6</v>
      </c>
      <c r="G461" s="164">
        <f t="shared" ref="G461:G462" si="503">$D$34</f>
        <v>125</v>
      </c>
      <c r="H461" s="164">
        <f t="shared" si="490"/>
        <v>750</v>
      </c>
      <c r="I461" s="164">
        <f t="shared" ref="I461:K461" si="504">$H461*I$456</f>
        <v>412500</v>
      </c>
      <c r="J461" s="164">
        <f t="shared" si="504"/>
        <v>412500</v>
      </c>
      <c r="K461" s="164">
        <f t="shared" si="504"/>
        <v>412500</v>
      </c>
      <c r="L461" s="111"/>
      <c r="M461" s="111"/>
      <c r="N461" s="111"/>
      <c r="O461" s="111"/>
      <c r="P461" s="111"/>
      <c r="Q461" s="111"/>
      <c r="R461" s="111"/>
      <c r="S461" s="712"/>
      <c r="T461" s="169" t="s">
        <v>946</v>
      </c>
      <c r="U461" s="169" t="s">
        <v>946</v>
      </c>
      <c r="V461" s="121" t="s">
        <v>950</v>
      </c>
      <c r="W461" s="121" t="s">
        <v>951</v>
      </c>
      <c r="X461" s="170">
        <f t="shared" ref="X461:X463" si="505">G461</f>
        <v>125</v>
      </c>
      <c r="Y461" s="200">
        <f t="shared" si="493"/>
        <v>3300</v>
      </c>
      <c r="Z461" s="167">
        <f t="shared" si="494"/>
        <v>412500</v>
      </c>
      <c r="AA461" s="164">
        <f t="shared" si="495"/>
        <v>125</v>
      </c>
      <c r="AB461" s="200">
        <f t="shared" si="496"/>
        <v>3300</v>
      </c>
      <c r="AC461" s="167">
        <f t="shared" si="497"/>
        <v>412500</v>
      </c>
      <c r="AD461" s="164">
        <f t="shared" si="498"/>
        <v>125</v>
      </c>
      <c r="AE461" s="200">
        <f t="shared" si="499"/>
        <v>3300</v>
      </c>
      <c r="AF461" s="167">
        <f t="shared" si="500"/>
        <v>412500</v>
      </c>
      <c r="AG461" s="67"/>
    </row>
    <row r="462" spans="1:33">
      <c r="A462" s="134"/>
      <c r="B462" s="153">
        <v>5</v>
      </c>
      <c r="C462" s="121" t="s">
        <v>978</v>
      </c>
      <c r="D462" s="121" t="s">
        <v>1174</v>
      </c>
      <c r="E462" s="209">
        <v>1</v>
      </c>
      <c r="F462" s="164">
        <v>6</v>
      </c>
      <c r="G462" s="164">
        <f t="shared" si="503"/>
        <v>125</v>
      </c>
      <c r="H462" s="164">
        <f>F462*G462</f>
        <v>750</v>
      </c>
      <c r="I462" s="164">
        <f t="shared" ref="I462:K462" si="506">$H462*I$456</f>
        <v>412500</v>
      </c>
      <c r="J462" s="164">
        <f t="shared" si="506"/>
        <v>412500</v>
      </c>
      <c r="K462" s="164">
        <f t="shared" si="506"/>
        <v>412500</v>
      </c>
      <c r="L462" s="111"/>
      <c r="M462" s="111"/>
      <c r="N462" s="111"/>
      <c r="O462" s="111"/>
      <c r="P462" s="111"/>
      <c r="Q462" s="111"/>
      <c r="R462" s="111"/>
      <c r="S462" s="712"/>
      <c r="T462" s="169" t="s">
        <v>946</v>
      </c>
      <c r="U462" s="169" t="s">
        <v>946</v>
      </c>
      <c r="V462" s="121" t="s">
        <v>950</v>
      </c>
      <c r="W462" s="121" t="s">
        <v>951</v>
      </c>
      <c r="X462" s="170">
        <f t="shared" si="505"/>
        <v>125</v>
      </c>
      <c r="Y462" s="200">
        <f t="shared" si="493"/>
        <v>3300</v>
      </c>
      <c r="Z462" s="167">
        <f t="shared" si="494"/>
        <v>412500</v>
      </c>
      <c r="AA462" s="164">
        <f t="shared" si="495"/>
        <v>125</v>
      </c>
      <c r="AB462" s="200">
        <f t="shared" si="496"/>
        <v>3300</v>
      </c>
      <c r="AC462" s="167">
        <f t="shared" si="497"/>
        <v>412500</v>
      </c>
      <c r="AD462" s="164">
        <f t="shared" si="498"/>
        <v>125</v>
      </c>
      <c r="AE462" s="200">
        <f t="shared" si="499"/>
        <v>3300</v>
      </c>
      <c r="AF462" s="167">
        <f t="shared" si="500"/>
        <v>412500</v>
      </c>
      <c r="AG462" s="67"/>
    </row>
    <row r="463" spans="1:33">
      <c r="A463" s="134"/>
      <c r="B463" s="153">
        <v>6</v>
      </c>
      <c r="C463" s="121" t="s">
        <v>987</v>
      </c>
      <c r="D463" s="121" t="s">
        <v>1175</v>
      </c>
      <c r="E463" s="209"/>
      <c r="F463" s="164">
        <v>6</v>
      </c>
      <c r="G463" s="164">
        <f>$D$19</f>
        <v>244</v>
      </c>
      <c r="H463" s="164">
        <f>G463*F463</f>
        <v>1464</v>
      </c>
      <c r="I463" s="164">
        <f t="shared" ref="I463:K463" si="507">$H463*I$456</f>
        <v>805200</v>
      </c>
      <c r="J463" s="164">
        <f t="shared" si="507"/>
        <v>805200</v>
      </c>
      <c r="K463" s="164">
        <f t="shared" si="507"/>
        <v>805200</v>
      </c>
      <c r="L463" s="111"/>
      <c r="M463" s="111"/>
      <c r="N463" s="111"/>
      <c r="O463" s="111"/>
      <c r="P463" s="111"/>
      <c r="Q463" s="111"/>
      <c r="R463" s="111"/>
      <c r="S463" s="712"/>
      <c r="T463" s="169" t="s">
        <v>946</v>
      </c>
      <c r="U463" s="169" t="s">
        <v>946</v>
      </c>
      <c r="V463" s="121" t="s">
        <v>989</v>
      </c>
      <c r="W463" s="121" t="s">
        <v>789</v>
      </c>
      <c r="X463" s="170">
        <f t="shared" si="505"/>
        <v>244</v>
      </c>
      <c r="Y463" s="200">
        <f t="shared" si="493"/>
        <v>3300</v>
      </c>
      <c r="Z463" s="167">
        <f t="shared" si="494"/>
        <v>805200</v>
      </c>
      <c r="AA463" s="164">
        <f t="shared" si="495"/>
        <v>244</v>
      </c>
      <c r="AB463" s="200">
        <f t="shared" si="496"/>
        <v>3300</v>
      </c>
      <c r="AC463" s="167">
        <f t="shared" si="497"/>
        <v>805200</v>
      </c>
      <c r="AD463" s="164">
        <f t="shared" si="498"/>
        <v>244</v>
      </c>
      <c r="AE463" s="200">
        <f t="shared" si="499"/>
        <v>3300</v>
      </c>
      <c r="AF463" s="167">
        <f t="shared" si="500"/>
        <v>805200</v>
      </c>
      <c r="AG463" s="67"/>
    </row>
    <row r="464" spans="1:33">
      <c r="A464" s="134"/>
      <c r="B464" s="153">
        <v>7</v>
      </c>
      <c r="C464" s="121" t="s">
        <v>978</v>
      </c>
      <c r="D464" s="121" t="s">
        <v>1176</v>
      </c>
      <c r="E464" s="209">
        <v>1</v>
      </c>
      <c r="F464" s="164">
        <v>8</v>
      </c>
      <c r="G464" s="164">
        <f>'Assumptions HR_AUN'!$F$8</f>
        <v>80.053187003968247</v>
      </c>
      <c r="H464" s="164">
        <f>E464*F464*G464</f>
        <v>640.42549603174598</v>
      </c>
      <c r="I464" s="164">
        <f t="shared" ref="I464:K464" si="508">$H464*I$456</f>
        <v>352234.0228174603</v>
      </c>
      <c r="J464" s="164">
        <f t="shared" si="508"/>
        <v>352234.0228174603</v>
      </c>
      <c r="K464" s="164">
        <f t="shared" si="508"/>
        <v>352234.0228174603</v>
      </c>
      <c r="L464" s="111"/>
      <c r="M464" s="111"/>
      <c r="N464" s="111"/>
      <c r="O464" s="111"/>
      <c r="P464" s="111"/>
      <c r="Q464" s="111"/>
      <c r="R464" s="111"/>
      <c r="S464" s="712"/>
      <c r="T464" s="169" t="s">
        <v>946</v>
      </c>
      <c r="U464" s="169" t="s">
        <v>946</v>
      </c>
      <c r="V464" s="121" t="s">
        <v>977</v>
      </c>
      <c r="W464" s="121" t="s">
        <v>961</v>
      </c>
      <c r="X464" s="170">
        <f>G464*$D$35*$D$36</f>
        <v>40346.806249999994</v>
      </c>
      <c r="Y464" s="200">
        <f t="shared" si="493"/>
        <v>8.7301587301587311</v>
      </c>
      <c r="Z464" s="167">
        <f t="shared" si="494"/>
        <v>352234.0228174603</v>
      </c>
      <c r="AA464" s="164">
        <f t="shared" si="495"/>
        <v>40346.806249999994</v>
      </c>
      <c r="AB464" s="200">
        <f t="shared" si="496"/>
        <v>8.7301587301587311</v>
      </c>
      <c r="AC464" s="167">
        <f t="shared" si="497"/>
        <v>352234.0228174603</v>
      </c>
      <c r="AD464" s="164">
        <f t="shared" si="498"/>
        <v>40346.806249999994</v>
      </c>
      <c r="AE464" s="200">
        <f t="shared" si="499"/>
        <v>8.7301587301587311</v>
      </c>
      <c r="AF464" s="167">
        <f t="shared" si="500"/>
        <v>352234.0228174603</v>
      </c>
      <c r="AG464" s="67"/>
    </row>
    <row r="465" spans="1:33">
      <c r="A465" s="134"/>
      <c r="B465" s="153">
        <v>8</v>
      </c>
      <c r="C465" s="121" t="s">
        <v>985</v>
      </c>
      <c r="D465" s="121" t="s">
        <v>1177</v>
      </c>
      <c r="E465" s="209"/>
      <c r="F465" s="164">
        <v>8</v>
      </c>
      <c r="G465" s="164">
        <f>$D$32</f>
        <v>60</v>
      </c>
      <c r="H465" s="164">
        <f>G465*F465</f>
        <v>480</v>
      </c>
      <c r="I465" s="164">
        <f t="shared" ref="I465:K465" si="509">$H465*I$456</f>
        <v>264000</v>
      </c>
      <c r="J465" s="164">
        <f t="shared" si="509"/>
        <v>264000</v>
      </c>
      <c r="K465" s="164">
        <f t="shared" si="509"/>
        <v>264000</v>
      </c>
      <c r="L465" s="111"/>
      <c r="M465" s="111"/>
      <c r="N465" s="111"/>
      <c r="O465" s="111"/>
      <c r="P465" s="111"/>
      <c r="Q465" s="111"/>
      <c r="R465" s="111"/>
      <c r="S465" s="712"/>
      <c r="T465" s="169" t="s">
        <v>946</v>
      </c>
      <c r="U465" s="169" t="s">
        <v>946</v>
      </c>
      <c r="V465" s="121" t="s">
        <v>957</v>
      </c>
      <c r="W465" s="121" t="s">
        <v>789</v>
      </c>
      <c r="X465" s="170">
        <f t="shared" ref="X465:X466" si="510">G465</f>
        <v>60</v>
      </c>
      <c r="Y465" s="200">
        <f t="shared" si="493"/>
        <v>4400</v>
      </c>
      <c r="Z465" s="167">
        <f t="shared" si="494"/>
        <v>264000</v>
      </c>
      <c r="AA465" s="164">
        <f t="shared" si="495"/>
        <v>60</v>
      </c>
      <c r="AB465" s="200">
        <f t="shared" si="496"/>
        <v>4400</v>
      </c>
      <c r="AC465" s="167">
        <f t="shared" si="497"/>
        <v>264000</v>
      </c>
      <c r="AD465" s="164">
        <f t="shared" si="498"/>
        <v>60</v>
      </c>
      <c r="AE465" s="200">
        <f t="shared" si="499"/>
        <v>4400</v>
      </c>
      <c r="AF465" s="167">
        <f t="shared" si="500"/>
        <v>264000</v>
      </c>
      <c r="AG465" s="67"/>
    </row>
    <row r="466" spans="1:33">
      <c r="A466" s="134"/>
      <c r="B466" s="153">
        <v>9</v>
      </c>
      <c r="C466" s="121" t="s">
        <v>987</v>
      </c>
      <c r="D466" s="121" t="s">
        <v>1178</v>
      </c>
      <c r="E466" s="209"/>
      <c r="F466" s="164">
        <v>8</v>
      </c>
      <c r="G466" s="164">
        <f>$D$19</f>
        <v>244</v>
      </c>
      <c r="H466" s="164">
        <f>F466*G466</f>
        <v>1952</v>
      </c>
      <c r="I466" s="164">
        <f t="shared" ref="I466:K466" si="511">$H466*I$456</f>
        <v>1073600</v>
      </c>
      <c r="J466" s="164">
        <f t="shared" si="511"/>
        <v>1073600</v>
      </c>
      <c r="K466" s="164">
        <f t="shared" si="511"/>
        <v>1073600</v>
      </c>
      <c r="L466" s="111"/>
      <c r="M466" s="111"/>
      <c r="N466" s="111"/>
      <c r="O466" s="111"/>
      <c r="P466" s="111"/>
      <c r="Q466" s="111"/>
      <c r="R466" s="111"/>
      <c r="S466" s="712"/>
      <c r="T466" s="169" t="s">
        <v>946</v>
      </c>
      <c r="U466" s="169" t="s">
        <v>946</v>
      </c>
      <c r="V466" s="121" t="s">
        <v>989</v>
      </c>
      <c r="W466" s="121" t="s">
        <v>789</v>
      </c>
      <c r="X466" s="170">
        <f t="shared" si="510"/>
        <v>244</v>
      </c>
      <c r="Y466" s="200">
        <f t="shared" si="493"/>
        <v>4400</v>
      </c>
      <c r="Z466" s="167">
        <f t="shared" si="494"/>
        <v>1073600</v>
      </c>
      <c r="AA466" s="164">
        <f t="shared" si="495"/>
        <v>244</v>
      </c>
      <c r="AB466" s="200">
        <f t="shared" si="496"/>
        <v>4400</v>
      </c>
      <c r="AC466" s="167">
        <f t="shared" si="497"/>
        <v>1073600</v>
      </c>
      <c r="AD466" s="164">
        <f t="shared" si="498"/>
        <v>244</v>
      </c>
      <c r="AE466" s="200">
        <f t="shared" si="499"/>
        <v>4400</v>
      </c>
      <c r="AF466" s="167">
        <f t="shared" si="500"/>
        <v>1073600</v>
      </c>
      <c r="AG466" s="67"/>
    </row>
    <row r="467" spans="1:33">
      <c r="A467" s="134"/>
      <c r="B467" s="153">
        <v>10</v>
      </c>
      <c r="C467" s="121" t="s">
        <v>1179</v>
      </c>
      <c r="D467" s="121" t="s">
        <v>1180</v>
      </c>
      <c r="E467" s="209">
        <v>0.5</v>
      </c>
      <c r="F467" s="164">
        <v>12</v>
      </c>
      <c r="G467" s="164">
        <f>'Assumptions HR_AUN'!$F$8</f>
        <v>80.053187003968247</v>
      </c>
      <c r="H467" s="164">
        <f>E467*F467*G467</f>
        <v>480.31912202380948</v>
      </c>
      <c r="I467" s="164">
        <f t="shared" ref="I467:K467" si="512">$H467*I$456</f>
        <v>264175.51711309521</v>
      </c>
      <c r="J467" s="164">
        <f t="shared" si="512"/>
        <v>264175.51711309521</v>
      </c>
      <c r="K467" s="164">
        <f t="shared" si="512"/>
        <v>264175.51711309521</v>
      </c>
      <c r="L467" s="111"/>
      <c r="M467" s="111"/>
      <c r="N467" s="111"/>
      <c r="O467" s="111"/>
      <c r="P467" s="111"/>
      <c r="Q467" s="111"/>
      <c r="R467" s="111"/>
      <c r="S467" s="712"/>
      <c r="T467" s="169" t="s">
        <v>946</v>
      </c>
      <c r="U467" s="169" t="s">
        <v>946</v>
      </c>
      <c r="V467" s="121" t="s">
        <v>977</v>
      </c>
      <c r="W467" s="121" t="s">
        <v>961</v>
      </c>
      <c r="X467" s="170">
        <f>G467*$D$35*$D$36</f>
        <v>40346.806249999994</v>
      </c>
      <c r="Y467" s="200">
        <f t="shared" si="493"/>
        <v>6.5476190476190474</v>
      </c>
      <c r="Z467" s="167">
        <f t="shared" si="494"/>
        <v>264175.51711309521</v>
      </c>
      <c r="AA467" s="164">
        <f t="shared" si="495"/>
        <v>40346.806249999994</v>
      </c>
      <c r="AB467" s="200">
        <f t="shared" si="496"/>
        <v>6.5476190476190474</v>
      </c>
      <c r="AC467" s="167">
        <f t="shared" si="497"/>
        <v>264175.51711309521</v>
      </c>
      <c r="AD467" s="164">
        <f t="shared" si="498"/>
        <v>40346.806249999994</v>
      </c>
      <c r="AE467" s="200">
        <f t="shared" si="499"/>
        <v>6.5476190476190474</v>
      </c>
      <c r="AF467" s="167">
        <f t="shared" si="500"/>
        <v>264175.51711309521</v>
      </c>
      <c r="AG467" s="67"/>
    </row>
    <row r="468" spans="1:33">
      <c r="A468" s="134"/>
      <c r="B468" s="153">
        <v>11</v>
      </c>
      <c r="C468" s="121" t="s">
        <v>1001</v>
      </c>
      <c r="D468" s="121"/>
      <c r="E468" s="209"/>
      <c r="F468" s="164"/>
      <c r="G468" s="185">
        <f>$C$13</f>
        <v>0.1</v>
      </c>
      <c r="H468" s="164">
        <f>SUM(H458:H467)*G468</f>
        <v>814.32589819460225</v>
      </c>
      <c r="I468" s="164">
        <f t="shared" ref="I468:K468" si="513">$H468*I$456</f>
        <v>447879.24400703126</v>
      </c>
      <c r="J468" s="164">
        <f t="shared" si="513"/>
        <v>447879.24400703126</v>
      </c>
      <c r="K468" s="164">
        <f t="shared" si="513"/>
        <v>447879.24400703126</v>
      </c>
      <c r="L468" s="111"/>
      <c r="M468" s="111"/>
      <c r="N468" s="111"/>
      <c r="O468" s="111"/>
      <c r="P468" s="111"/>
      <c r="Q468" s="111"/>
      <c r="R468" s="111"/>
      <c r="S468" s="712"/>
      <c r="T468" s="169" t="s">
        <v>946</v>
      </c>
      <c r="U468" s="169" t="s">
        <v>946</v>
      </c>
      <c r="V468" s="121" t="s">
        <v>875</v>
      </c>
      <c r="W468" s="121" t="s">
        <v>961</v>
      </c>
      <c r="X468" s="170">
        <f>'Assumptions HR_AUN'!$D$4*3</f>
        <v>88211.039066799218</v>
      </c>
      <c r="Y468" s="200">
        <f t="shared" si="493"/>
        <v>5.0773604839624156</v>
      </c>
      <c r="Z468" s="167">
        <f t="shared" si="494"/>
        <v>447879.2440070312</v>
      </c>
      <c r="AA468" s="164">
        <f t="shared" si="495"/>
        <v>88211.039066799218</v>
      </c>
      <c r="AB468" s="200">
        <f t="shared" si="496"/>
        <v>5.0773604839624156</v>
      </c>
      <c r="AC468" s="167">
        <f t="shared" si="497"/>
        <v>447879.2440070312</v>
      </c>
      <c r="AD468" s="164">
        <f t="shared" si="498"/>
        <v>88211.039066799218</v>
      </c>
      <c r="AE468" s="200">
        <f t="shared" si="499"/>
        <v>5.0773604839624156</v>
      </c>
      <c r="AF468" s="167">
        <f t="shared" si="500"/>
        <v>447879.2440070312</v>
      </c>
      <c r="AG468" s="67"/>
    </row>
    <row r="469" spans="1:33">
      <c r="A469" s="134"/>
      <c r="B469" s="153">
        <v>12</v>
      </c>
      <c r="C469" s="121" t="s">
        <v>962</v>
      </c>
      <c r="D469" s="121"/>
      <c r="E469" s="209"/>
      <c r="F469" s="121"/>
      <c r="G469" s="185">
        <f>$C$14</f>
        <v>0.15</v>
      </c>
      <c r="H469" s="164">
        <f>SUM(H458:H467)*G469</f>
        <v>1221.4888472919033</v>
      </c>
      <c r="I469" s="164">
        <f t="shared" ref="I469:K469" si="514">$H469*I$456</f>
        <v>671818.8660105468</v>
      </c>
      <c r="J469" s="164">
        <f t="shared" si="514"/>
        <v>671818.8660105468</v>
      </c>
      <c r="K469" s="164">
        <f t="shared" si="514"/>
        <v>671818.8660105468</v>
      </c>
      <c r="L469" s="111"/>
      <c r="M469" s="111"/>
      <c r="N469" s="111"/>
      <c r="O469" s="111"/>
      <c r="P469" s="111"/>
      <c r="Q469" s="111"/>
      <c r="R469" s="111"/>
      <c r="S469" s="712"/>
      <c r="T469" s="169" t="s">
        <v>946</v>
      </c>
      <c r="U469" s="169" t="s">
        <v>946</v>
      </c>
      <c r="V469" s="121" t="s">
        <v>881</v>
      </c>
      <c r="W469" s="121" t="s">
        <v>964</v>
      </c>
      <c r="X469" s="170">
        <f>I469/4</f>
        <v>167954.7165026367</v>
      </c>
      <c r="Y469" s="200">
        <f t="shared" si="493"/>
        <v>4</v>
      </c>
      <c r="Z469" s="167">
        <f t="shared" si="494"/>
        <v>671818.8660105468</v>
      </c>
      <c r="AA469" s="164">
        <f>J469/4</f>
        <v>167954.7165026367</v>
      </c>
      <c r="AB469" s="200">
        <f t="shared" si="496"/>
        <v>4</v>
      </c>
      <c r="AC469" s="167">
        <f t="shared" si="497"/>
        <v>671818.8660105468</v>
      </c>
      <c r="AD469" s="164">
        <f t="shared" si="498"/>
        <v>167954.7165026367</v>
      </c>
      <c r="AE469" s="200">
        <f t="shared" si="499"/>
        <v>4</v>
      </c>
      <c r="AF469" s="167">
        <f t="shared" si="500"/>
        <v>671818.8660105468</v>
      </c>
      <c r="AG469" s="67"/>
    </row>
    <row r="470" spans="1:33">
      <c r="A470" s="134"/>
      <c r="B470" s="212" t="s">
        <v>770</v>
      </c>
      <c r="C470" s="212"/>
      <c r="D470" s="212"/>
      <c r="E470" s="212"/>
      <c r="F470" s="212"/>
      <c r="G470" s="178"/>
      <c r="H470" s="178">
        <f t="shared" ref="H470:K470" si="515">SUM(H458:H469)</f>
        <v>10179.073727432527</v>
      </c>
      <c r="I470" s="178">
        <f t="shared" si="515"/>
        <v>5598490.5500878906</v>
      </c>
      <c r="J470" s="178">
        <f t="shared" si="515"/>
        <v>5598490.5500878906</v>
      </c>
      <c r="K470" s="178">
        <f t="shared" si="515"/>
        <v>5598490.5500878906</v>
      </c>
      <c r="L470" s="111"/>
      <c r="M470" s="111"/>
      <c r="N470" s="111"/>
      <c r="O470" s="111"/>
      <c r="P470" s="111"/>
      <c r="Q470" s="111"/>
      <c r="R470" s="111"/>
      <c r="S470" s="712"/>
      <c r="T470" s="111"/>
      <c r="U470" s="111"/>
      <c r="V470" s="111"/>
      <c r="W470" s="111"/>
      <c r="X470" s="132"/>
      <c r="Y470" s="133"/>
      <c r="Z470" s="132"/>
      <c r="AA470" s="132"/>
      <c r="AB470" s="133"/>
      <c r="AC470" s="132"/>
      <c r="AD470" s="132"/>
      <c r="AE470" s="133"/>
      <c r="AF470" s="132"/>
      <c r="AG470" s="67"/>
    </row>
    <row r="471" spans="1:33">
      <c r="A471" s="9"/>
      <c r="B471" s="111"/>
      <c r="C471" s="111"/>
      <c r="D471" s="111"/>
      <c r="E471" s="111"/>
      <c r="F471" s="111"/>
      <c r="G471" s="111"/>
      <c r="H471" s="151"/>
      <c r="I471" s="132"/>
      <c r="J471" s="132"/>
      <c r="K471" s="132"/>
      <c r="L471" s="111"/>
      <c r="M471" s="111"/>
      <c r="N471" s="111"/>
      <c r="O471" s="111"/>
      <c r="P471" s="111"/>
      <c r="Q471" s="111"/>
      <c r="R471" s="111"/>
      <c r="S471" s="712"/>
      <c r="T471" s="111"/>
      <c r="U471" s="111"/>
      <c r="V471" s="111"/>
      <c r="W471" s="111"/>
      <c r="X471" s="111"/>
      <c r="Y471" s="111"/>
      <c r="Z471" s="111"/>
      <c r="AA471" s="111"/>
      <c r="AB471" s="111"/>
      <c r="AC471" s="111"/>
      <c r="AD471" s="111"/>
      <c r="AE471" s="111"/>
      <c r="AF471" s="111"/>
      <c r="AG471" s="67"/>
    </row>
    <row r="472" spans="1:33">
      <c r="A472" s="725">
        <v>26</v>
      </c>
      <c r="B472" s="917" t="e" vm="1">
        <f>'[2]AUN Budget'!E111</f>
        <v>#VALUE!</v>
      </c>
      <c r="C472" s="898"/>
      <c r="D472" s="900" t="s">
        <v>887</v>
      </c>
      <c r="E472" s="898"/>
      <c r="F472" s="898"/>
      <c r="G472" s="898"/>
      <c r="H472" s="898"/>
      <c r="I472" s="898"/>
      <c r="J472" s="111"/>
      <c r="K472" s="111"/>
      <c r="L472" s="111"/>
      <c r="M472" s="111"/>
      <c r="N472" s="111"/>
      <c r="O472" s="111"/>
      <c r="P472" s="111"/>
      <c r="Q472" s="111"/>
      <c r="R472" s="111"/>
      <c r="S472" s="712"/>
      <c r="T472" s="111"/>
      <c r="U472" s="111"/>
      <c r="V472" s="111"/>
      <c r="W472" s="111"/>
      <c r="X472" s="132"/>
      <c r="Y472" s="133"/>
      <c r="Z472" s="132"/>
      <c r="AA472" s="111"/>
      <c r="AB472" s="111"/>
      <c r="AC472" s="111"/>
      <c r="AD472" s="111"/>
      <c r="AE472" s="111"/>
      <c r="AF472" s="111"/>
      <c r="AG472" s="67"/>
    </row>
    <row r="473" spans="1:33">
      <c r="A473" s="134" t="s">
        <v>122</v>
      </c>
      <c r="B473" s="113" t="s">
        <v>755</v>
      </c>
      <c r="C473" s="113" t="s">
        <v>756</v>
      </c>
      <c r="D473" s="113" t="s">
        <v>697</v>
      </c>
      <c r="E473" s="113" t="s">
        <v>757</v>
      </c>
      <c r="F473" s="113" t="s">
        <v>931</v>
      </c>
      <c r="G473" s="113" t="s">
        <v>759</v>
      </c>
      <c r="H473" s="113" t="s">
        <v>932</v>
      </c>
      <c r="I473" s="113" t="s">
        <v>933</v>
      </c>
      <c r="J473" s="111"/>
      <c r="K473" s="111"/>
      <c r="L473" s="111"/>
      <c r="M473" s="111"/>
      <c r="N473" s="111"/>
      <c r="O473" s="111"/>
      <c r="P473" s="111"/>
      <c r="Q473" s="111"/>
      <c r="R473" s="111"/>
      <c r="S473" s="712"/>
      <c r="T473" s="159" t="s">
        <v>387</v>
      </c>
      <c r="U473" s="159" t="s">
        <v>388</v>
      </c>
      <c r="V473" s="159" t="s">
        <v>934</v>
      </c>
      <c r="W473" s="160" t="s">
        <v>935</v>
      </c>
      <c r="X473" s="161" t="s">
        <v>936</v>
      </c>
      <c r="Y473" s="162" t="s">
        <v>937</v>
      </c>
      <c r="Z473" s="161" t="s">
        <v>938</v>
      </c>
      <c r="AA473" s="111"/>
      <c r="AB473" s="111"/>
      <c r="AC473" s="111"/>
      <c r="AD473" s="111"/>
      <c r="AE473" s="111"/>
      <c r="AF473" s="111"/>
      <c r="AG473" s="67"/>
    </row>
    <row r="474" spans="1:33">
      <c r="A474" s="134"/>
      <c r="B474" s="153">
        <v>1</v>
      </c>
      <c r="C474" s="121" t="s">
        <v>1181</v>
      </c>
      <c r="D474" s="121" t="s">
        <v>1182</v>
      </c>
      <c r="E474" s="164">
        <f>'Assumptions HR_AUN'!$D$8</f>
        <v>13448.935416666665</v>
      </c>
      <c r="F474" s="165">
        <v>1</v>
      </c>
      <c r="G474" s="166">
        <v>3</v>
      </c>
      <c r="H474" s="153">
        <v>12</v>
      </c>
      <c r="I474" s="167">
        <f t="shared" ref="I474:I477" si="516">E474*G474*F474*H474</f>
        <v>484161.67499999993</v>
      </c>
      <c r="J474" s="111"/>
      <c r="K474" s="111"/>
      <c r="L474" s="111"/>
      <c r="M474" s="111"/>
      <c r="N474" s="111"/>
      <c r="O474" s="111"/>
      <c r="P474" s="111"/>
      <c r="Q474" s="111"/>
      <c r="R474" s="111"/>
      <c r="S474" s="712"/>
      <c r="T474" s="169" t="s">
        <v>946</v>
      </c>
      <c r="U474" s="169" t="s">
        <v>946</v>
      </c>
      <c r="V474" s="121" t="s">
        <v>977</v>
      </c>
      <c r="W474" s="121" t="s">
        <v>961</v>
      </c>
      <c r="X474" s="170">
        <f>E474*3</f>
        <v>40346.806249999994</v>
      </c>
      <c r="Y474" s="200">
        <f t="shared" ref="Y474:Y486" si="517">I474/X474</f>
        <v>12</v>
      </c>
      <c r="Z474" s="167">
        <f t="shared" ref="Z474:Z486" si="518">X474*Y474</f>
        <v>484161.67499999993</v>
      </c>
      <c r="AA474" s="111"/>
      <c r="AB474" s="111"/>
      <c r="AC474" s="111"/>
      <c r="AD474" s="111"/>
      <c r="AE474" s="111"/>
      <c r="AF474" s="111"/>
      <c r="AG474" s="67"/>
    </row>
    <row r="475" spans="1:33">
      <c r="A475" s="134"/>
      <c r="B475" s="153">
        <v>2</v>
      </c>
      <c r="C475" s="121" t="s">
        <v>1183</v>
      </c>
      <c r="D475" s="121" t="s">
        <v>1182</v>
      </c>
      <c r="E475" s="194">
        <f>'Assumptions HR_AUN'!$D$3</f>
        <v>34178.816410256411</v>
      </c>
      <c r="F475" s="165">
        <v>0.7</v>
      </c>
      <c r="G475" s="176">
        <v>1</v>
      </c>
      <c r="H475" s="153">
        <v>12</v>
      </c>
      <c r="I475" s="167">
        <f t="shared" si="516"/>
        <v>287102.05784615385</v>
      </c>
      <c r="J475" s="111"/>
      <c r="K475" s="111"/>
      <c r="L475" s="111"/>
      <c r="M475" s="111"/>
      <c r="N475" s="111"/>
      <c r="O475" s="111"/>
      <c r="P475" s="111"/>
      <c r="Q475" s="111"/>
      <c r="R475" s="111"/>
      <c r="S475" s="712"/>
      <c r="T475" s="169" t="s">
        <v>946</v>
      </c>
      <c r="U475" s="169" t="s">
        <v>946</v>
      </c>
      <c r="V475" s="121" t="s">
        <v>848</v>
      </c>
      <c r="W475" s="164" t="s">
        <v>947</v>
      </c>
      <c r="X475" s="170">
        <f>E475*3/20</f>
        <v>5126.8224615384624</v>
      </c>
      <c r="Y475" s="200">
        <f t="shared" si="517"/>
        <v>55.999999999999993</v>
      </c>
      <c r="Z475" s="167">
        <f t="shared" si="518"/>
        <v>287102.05784615385</v>
      </c>
      <c r="AA475" s="111"/>
      <c r="AB475" s="111"/>
      <c r="AC475" s="111"/>
      <c r="AD475" s="111"/>
      <c r="AE475" s="111"/>
      <c r="AF475" s="111"/>
      <c r="AG475" s="67"/>
    </row>
    <row r="476" spans="1:33">
      <c r="A476" s="134"/>
      <c r="B476" s="153">
        <v>3</v>
      </c>
      <c r="C476" s="121" t="s">
        <v>1184</v>
      </c>
      <c r="D476" s="121" t="s">
        <v>1182</v>
      </c>
      <c r="E476" s="194">
        <f>'Assumptions HR_AUN'!$D$3</f>
        <v>34178.816410256411</v>
      </c>
      <c r="F476" s="165">
        <v>0.7</v>
      </c>
      <c r="G476" s="176">
        <v>1</v>
      </c>
      <c r="H476" s="153">
        <v>12</v>
      </c>
      <c r="I476" s="167">
        <f t="shared" si="516"/>
        <v>287102.05784615385</v>
      </c>
      <c r="J476" s="111"/>
      <c r="K476" s="111"/>
      <c r="L476" s="111"/>
      <c r="M476" s="111"/>
      <c r="N476" s="111"/>
      <c r="O476" s="111"/>
      <c r="P476" s="111"/>
      <c r="Q476" s="111"/>
      <c r="R476" s="111"/>
      <c r="S476" s="712"/>
      <c r="T476" s="169" t="s">
        <v>946</v>
      </c>
      <c r="U476" s="169" t="s">
        <v>946</v>
      </c>
      <c r="V476" s="121" t="s">
        <v>977</v>
      </c>
      <c r="W476" s="121" t="s">
        <v>961</v>
      </c>
      <c r="X476" s="170">
        <f t="shared" ref="X476:X477" si="519">E476*3</f>
        <v>102536.44923076924</v>
      </c>
      <c r="Y476" s="200">
        <f t="shared" si="517"/>
        <v>2.8</v>
      </c>
      <c r="Z476" s="167">
        <f t="shared" si="518"/>
        <v>287102.05784615385</v>
      </c>
      <c r="AA476" s="111"/>
      <c r="AB476" s="111"/>
      <c r="AC476" s="111"/>
      <c r="AD476" s="111"/>
      <c r="AE476" s="111"/>
      <c r="AF476" s="111"/>
      <c r="AG476" s="67"/>
    </row>
    <row r="477" spans="1:33">
      <c r="A477" s="134"/>
      <c r="B477" s="153">
        <v>4</v>
      </c>
      <c r="C477" s="121" t="s">
        <v>1185</v>
      </c>
      <c r="D477" s="121" t="s">
        <v>1182</v>
      </c>
      <c r="E477" s="194">
        <f>'Assumptions HR_AUN'!E5</f>
        <v>25194</v>
      </c>
      <c r="F477" s="165">
        <v>0.5</v>
      </c>
      <c r="G477" s="176">
        <v>1</v>
      </c>
      <c r="H477" s="153">
        <v>12</v>
      </c>
      <c r="I477" s="167">
        <f t="shared" si="516"/>
        <v>151164</v>
      </c>
      <c r="J477" s="111"/>
      <c r="K477" s="111"/>
      <c r="L477" s="111"/>
      <c r="M477" s="111"/>
      <c r="N477" s="111"/>
      <c r="O477" s="111"/>
      <c r="P477" s="111"/>
      <c r="Q477" s="111"/>
      <c r="R477" s="111"/>
      <c r="S477" s="712"/>
      <c r="T477" s="169" t="s">
        <v>946</v>
      </c>
      <c r="U477" s="169" t="s">
        <v>946</v>
      </c>
      <c r="V477" s="121" t="s">
        <v>977</v>
      </c>
      <c r="W477" s="121" t="s">
        <v>961</v>
      </c>
      <c r="X477" s="170">
        <f t="shared" si="519"/>
        <v>75582</v>
      </c>
      <c r="Y477" s="200">
        <f t="shared" si="517"/>
        <v>2</v>
      </c>
      <c r="Z477" s="167">
        <f t="shared" si="518"/>
        <v>151164</v>
      </c>
      <c r="AA477" s="111"/>
      <c r="AB477" s="111"/>
      <c r="AC477" s="111"/>
      <c r="AD477" s="111"/>
      <c r="AE477" s="111"/>
      <c r="AF477" s="111"/>
      <c r="AG477" s="67"/>
    </row>
    <row r="478" spans="1:33">
      <c r="A478" s="134"/>
      <c r="B478" s="153">
        <v>5</v>
      </c>
      <c r="C478" s="121" t="s">
        <v>1186</v>
      </c>
      <c r="D478" s="121" t="s">
        <v>1187</v>
      </c>
      <c r="E478" s="164">
        <f>$D$19</f>
        <v>244</v>
      </c>
      <c r="F478" s="165"/>
      <c r="G478" s="176">
        <v>300</v>
      </c>
      <c r="H478" s="153"/>
      <c r="I478" s="167">
        <f t="shared" ref="I478:I481" si="520">E478*G478</f>
        <v>73200</v>
      </c>
      <c r="J478" s="111"/>
      <c r="K478" s="111"/>
      <c r="L478" s="111"/>
      <c r="M478" s="111"/>
      <c r="N478" s="111"/>
      <c r="O478" s="111"/>
      <c r="P478" s="111" t="e">
        <f>SUM('Assumptions Other_AUN'!Y227ж)</f>
        <v>#NAME?</v>
      </c>
      <c r="Q478" s="111"/>
      <c r="R478" s="111"/>
      <c r="S478" s="712"/>
      <c r="T478" s="169" t="s">
        <v>946</v>
      </c>
      <c r="U478" s="169" t="s">
        <v>946</v>
      </c>
      <c r="V478" s="121" t="s">
        <v>989</v>
      </c>
      <c r="W478" s="121" t="s">
        <v>789</v>
      </c>
      <c r="X478" s="170">
        <f t="shared" ref="X478:X480" si="521">E478</f>
        <v>244</v>
      </c>
      <c r="Y478" s="200">
        <f t="shared" si="517"/>
        <v>300</v>
      </c>
      <c r="Z478" s="167">
        <f t="shared" si="518"/>
        <v>73200</v>
      </c>
      <c r="AA478" s="111"/>
      <c r="AB478" s="111"/>
      <c r="AC478" s="111"/>
      <c r="AD478" s="111"/>
      <c r="AE478" s="111"/>
      <c r="AF478" s="111"/>
      <c r="AG478" s="67"/>
    </row>
    <row r="479" spans="1:33">
      <c r="A479" s="134"/>
      <c r="B479" s="153">
        <v>6</v>
      </c>
      <c r="C479" s="121" t="s">
        <v>1188</v>
      </c>
      <c r="D479" s="121" t="s">
        <v>1187</v>
      </c>
      <c r="E479" s="164">
        <f>$D$31</f>
        <v>798</v>
      </c>
      <c r="F479" s="165"/>
      <c r="G479" s="176">
        <v>300</v>
      </c>
      <c r="H479" s="153"/>
      <c r="I479" s="167">
        <f t="shared" si="520"/>
        <v>239400</v>
      </c>
      <c r="J479" s="111"/>
      <c r="K479" s="111"/>
      <c r="L479" s="111"/>
      <c r="M479" s="111"/>
      <c r="N479" s="111"/>
      <c r="O479" s="111"/>
      <c r="P479" s="111"/>
      <c r="Q479" s="111"/>
      <c r="R479" s="111"/>
      <c r="S479" s="712"/>
      <c r="T479" s="169" t="s">
        <v>946</v>
      </c>
      <c r="U479" s="169" t="s">
        <v>946</v>
      </c>
      <c r="V479" s="121" t="s">
        <v>957</v>
      </c>
      <c r="W479" s="121" t="s">
        <v>789</v>
      </c>
      <c r="X479" s="170">
        <f t="shared" si="521"/>
        <v>798</v>
      </c>
      <c r="Y479" s="200">
        <f t="shared" si="517"/>
        <v>300</v>
      </c>
      <c r="Z479" s="167">
        <f t="shared" si="518"/>
        <v>239400</v>
      </c>
      <c r="AA479" s="111"/>
      <c r="AB479" s="111"/>
      <c r="AC479" s="111"/>
      <c r="AD479" s="111"/>
      <c r="AE479" s="111"/>
      <c r="AF479" s="111"/>
      <c r="AG479" s="67"/>
    </row>
    <row r="480" spans="1:33">
      <c r="A480" s="134"/>
      <c r="B480" s="153">
        <v>7</v>
      </c>
      <c r="C480" s="121" t="s">
        <v>1189</v>
      </c>
      <c r="D480" s="121" t="s">
        <v>1187</v>
      </c>
      <c r="E480" s="164">
        <v>125</v>
      </c>
      <c r="F480" s="165"/>
      <c r="G480" s="176">
        <v>50</v>
      </c>
      <c r="H480" s="153"/>
      <c r="I480" s="167">
        <f t="shared" si="520"/>
        <v>6250</v>
      </c>
      <c r="J480" s="111"/>
      <c r="K480" s="111"/>
      <c r="L480" s="111"/>
      <c r="M480" s="111"/>
      <c r="N480" s="111"/>
      <c r="O480" s="111"/>
      <c r="P480" s="111"/>
      <c r="Q480" s="111"/>
      <c r="R480" s="111"/>
      <c r="S480" s="712"/>
      <c r="T480" s="169" t="s">
        <v>946</v>
      </c>
      <c r="U480" s="169" t="s">
        <v>946</v>
      </c>
      <c r="V480" s="121" t="s">
        <v>994</v>
      </c>
      <c r="W480" s="121" t="s">
        <v>789</v>
      </c>
      <c r="X480" s="170">
        <f t="shared" si="521"/>
        <v>125</v>
      </c>
      <c r="Y480" s="200">
        <f t="shared" si="517"/>
        <v>50</v>
      </c>
      <c r="Z480" s="167">
        <f t="shared" si="518"/>
        <v>6250</v>
      </c>
      <c r="AA480" s="111"/>
      <c r="AB480" s="111"/>
      <c r="AC480" s="111"/>
      <c r="AD480" s="111"/>
      <c r="AE480" s="111"/>
      <c r="AF480" s="111"/>
      <c r="AG480" s="67"/>
    </row>
    <row r="481" spans="1:33">
      <c r="A481" s="134"/>
      <c r="B481" s="153">
        <v>8</v>
      </c>
      <c r="C481" s="121" t="s">
        <v>1190</v>
      </c>
      <c r="D481" s="121" t="s">
        <v>1191</v>
      </c>
      <c r="E481" s="164">
        <f>'Assumptions TRC_AUN'!$I$185</f>
        <v>11845</v>
      </c>
      <c r="F481" s="165"/>
      <c r="G481" s="176">
        <f>3*7</f>
        <v>21</v>
      </c>
      <c r="H481" s="153"/>
      <c r="I481" s="167">
        <f t="shared" si="520"/>
        <v>248745</v>
      </c>
      <c r="J481" s="111"/>
      <c r="K481" s="111"/>
      <c r="L481" s="111"/>
      <c r="M481" s="111"/>
      <c r="N481" s="111"/>
      <c r="O481" s="111"/>
      <c r="P481" s="111"/>
      <c r="Q481" s="111"/>
      <c r="R481" s="111"/>
      <c r="S481" s="712"/>
      <c r="T481" s="169" t="s">
        <v>946</v>
      </c>
      <c r="U481" s="169" t="s">
        <v>946</v>
      </c>
      <c r="V481" s="121" t="s">
        <v>809</v>
      </c>
      <c r="W481" s="121" t="s">
        <v>791</v>
      </c>
      <c r="X481" s="170">
        <f>'Assumptions TRC_AUN'!I186</f>
        <v>1974.1666666666667</v>
      </c>
      <c r="Y481" s="200">
        <f t="shared" si="517"/>
        <v>126</v>
      </c>
      <c r="Z481" s="167">
        <f t="shared" si="518"/>
        <v>248745</v>
      </c>
      <c r="AA481" s="111"/>
      <c r="AB481" s="111"/>
      <c r="AC481" s="111"/>
      <c r="AD481" s="111"/>
      <c r="AE481" s="111"/>
      <c r="AF481" s="111"/>
      <c r="AG481" s="67"/>
    </row>
    <row r="482" spans="1:33">
      <c r="A482" s="134"/>
      <c r="B482" s="153">
        <v>9</v>
      </c>
      <c r="C482" s="121" t="s">
        <v>1192</v>
      </c>
      <c r="D482" s="121" t="s">
        <v>1182</v>
      </c>
      <c r="E482" s="194">
        <f>'Assumptions HR_AUN'!$E$5</f>
        <v>25194</v>
      </c>
      <c r="F482" s="165">
        <v>0.6</v>
      </c>
      <c r="G482" s="176">
        <v>1</v>
      </c>
      <c r="H482" s="153">
        <v>12</v>
      </c>
      <c r="I482" s="167">
        <f>E482*G482*F482*H482</f>
        <v>181396.8</v>
      </c>
      <c r="J482" s="111"/>
      <c r="K482" s="111"/>
      <c r="L482" s="111"/>
      <c r="M482" s="111"/>
      <c r="N482" s="111"/>
      <c r="O482" s="111"/>
      <c r="P482" s="111"/>
      <c r="Q482" s="111"/>
      <c r="R482" s="111"/>
      <c r="S482" s="712"/>
      <c r="T482" s="169" t="s">
        <v>946</v>
      </c>
      <c r="U482" s="169" t="s">
        <v>946</v>
      </c>
      <c r="V482" s="121" t="s">
        <v>977</v>
      </c>
      <c r="W482" s="121" t="s">
        <v>961</v>
      </c>
      <c r="X482" s="170">
        <f>E482*3</f>
        <v>75582</v>
      </c>
      <c r="Y482" s="200">
        <f t="shared" si="517"/>
        <v>2.4</v>
      </c>
      <c r="Z482" s="167">
        <f t="shared" si="518"/>
        <v>181396.8</v>
      </c>
      <c r="AA482" s="111"/>
      <c r="AB482" s="111"/>
      <c r="AC482" s="111"/>
      <c r="AD482" s="111"/>
      <c r="AE482" s="111"/>
      <c r="AF482" s="111"/>
      <c r="AG482" s="67"/>
    </row>
    <row r="483" spans="1:33">
      <c r="A483" s="134"/>
      <c r="B483" s="153">
        <v>10</v>
      </c>
      <c r="C483" s="121" t="s">
        <v>1193</v>
      </c>
      <c r="D483" s="121" t="s">
        <v>949</v>
      </c>
      <c r="E483" s="164">
        <f>'Assumptions TRC_AUN'!$J$90</f>
        <v>10982.125</v>
      </c>
      <c r="F483" s="165"/>
      <c r="G483" s="176">
        <v>6</v>
      </c>
      <c r="H483" s="153"/>
      <c r="I483" s="167">
        <f t="shared" ref="I483:I484" si="522">E483*G483</f>
        <v>65892.75</v>
      </c>
      <c r="J483" s="111"/>
      <c r="K483" s="132"/>
      <c r="L483" s="111"/>
      <c r="M483" s="111"/>
      <c r="N483" s="111"/>
      <c r="O483" s="111"/>
      <c r="P483" s="111"/>
      <c r="Q483" s="111"/>
      <c r="R483" s="111"/>
      <c r="S483" s="712"/>
      <c r="T483" s="169" t="s">
        <v>946</v>
      </c>
      <c r="U483" s="169" t="s">
        <v>946</v>
      </c>
      <c r="V483" s="121" t="s">
        <v>950</v>
      </c>
      <c r="W483" s="121" t="s">
        <v>951</v>
      </c>
      <c r="X483" s="170">
        <f>'Assumptions TRC_AUN'!$J$91</f>
        <v>549.10625000000005</v>
      </c>
      <c r="Y483" s="200">
        <f t="shared" si="517"/>
        <v>119.99999999999999</v>
      </c>
      <c r="Z483" s="167">
        <f t="shared" si="518"/>
        <v>65892.75</v>
      </c>
      <c r="AA483" s="111"/>
      <c r="AB483" s="151"/>
      <c r="AC483" s="111"/>
      <c r="AD483" s="111"/>
      <c r="AE483" s="111"/>
      <c r="AF483" s="111"/>
      <c r="AG483" s="67"/>
    </row>
    <row r="484" spans="1:33">
      <c r="A484" s="134"/>
      <c r="B484" s="153">
        <v>11</v>
      </c>
      <c r="C484" s="121" t="s">
        <v>1194</v>
      </c>
      <c r="D484" s="121" t="s">
        <v>949</v>
      </c>
      <c r="E484" s="164">
        <f>'Assumptions TRC_AUN'!$I$71</f>
        <v>105392.25</v>
      </c>
      <c r="F484" s="165"/>
      <c r="G484" s="176">
        <v>1</v>
      </c>
      <c r="H484" s="153"/>
      <c r="I484" s="167">
        <f t="shared" si="522"/>
        <v>105392.25</v>
      </c>
      <c r="J484" s="111"/>
      <c r="K484" s="111"/>
      <c r="L484" s="111"/>
      <c r="M484" s="111"/>
      <c r="N484" s="111"/>
      <c r="O484" s="111"/>
      <c r="P484" s="111"/>
      <c r="Q484" s="111"/>
      <c r="R484" s="111"/>
      <c r="S484" s="712"/>
      <c r="T484" s="169" t="s">
        <v>946</v>
      </c>
      <c r="U484" s="169" t="s">
        <v>946</v>
      </c>
      <c r="V484" s="121" t="s">
        <v>950</v>
      </c>
      <c r="W484" s="121" t="s">
        <v>951</v>
      </c>
      <c r="X484" s="170">
        <f>'Assumptions TRC_AUN'!$J$91</f>
        <v>549.10625000000005</v>
      </c>
      <c r="Y484" s="200">
        <f t="shared" si="517"/>
        <v>191.93416574661094</v>
      </c>
      <c r="Z484" s="167">
        <f t="shared" si="518"/>
        <v>105392.25</v>
      </c>
      <c r="AA484" s="111"/>
      <c r="AB484" s="111"/>
      <c r="AC484" s="111"/>
      <c r="AD484" s="111"/>
      <c r="AE484" s="111"/>
      <c r="AF484" s="111"/>
      <c r="AG484" s="67"/>
    </row>
    <row r="485" spans="1:33">
      <c r="A485" s="134"/>
      <c r="B485" s="153">
        <v>12</v>
      </c>
      <c r="C485" s="174" t="s">
        <v>1195</v>
      </c>
      <c r="D485" s="121" t="s">
        <v>1196</v>
      </c>
      <c r="E485" s="185">
        <v>0.1</v>
      </c>
      <c r="F485" s="165"/>
      <c r="G485" s="176">
        <v>4</v>
      </c>
      <c r="H485" s="153"/>
      <c r="I485" s="167">
        <f>SUM(I474:I484)*10%</f>
        <v>212980.65906923078</v>
      </c>
      <c r="J485" s="918"/>
      <c r="K485" s="132"/>
      <c r="L485" s="111"/>
      <c r="M485" s="111"/>
      <c r="N485" s="111"/>
      <c r="O485" s="111"/>
      <c r="P485" s="111"/>
      <c r="Q485" s="111"/>
      <c r="R485" s="111"/>
      <c r="S485" s="712"/>
      <c r="T485" s="169" t="s">
        <v>946</v>
      </c>
      <c r="U485" s="169" t="s">
        <v>946</v>
      </c>
      <c r="V485" s="121" t="s">
        <v>875</v>
      </c>
      <c r="W485" s="121" t="s">
        <v>961</v>
      </c>
      <c r="X485" s="170">
        <f>'Assumptions HR_AUN'!$D$4*3</f>
        <v>88211.039066799218</v>
      </c>
      <c r="Y485" s="200">
        <f t="shared" si="517"/>
        <v>2.414444510827582</v>
      </c>
      <c r="Z485" s="167">
        <f t="shared" si="518"/>
        <v>212980.65906923078</v>
      </c>
      <c r="AA485" s="111"/>
      <c r="AB485" s="111"/>
      <c r="AC485" s="111"/>
      <c r="AD485" s="111"/>
      <c r="AE485" s="111"/>
      <c r="AF485" s="111"/>
      <c r="AG485" s="67"/>
    </row>
    <row r="486" spans="1:33">
      <c r="A486" s="134"/>
      <c r="B486" s="153">
        <v>13</v>
      </c>
      <c r="C486" s="121" t="s">
        <v>1197</v>
      </c>
      <c r="D486" s="121" t="s">
        <v>1196</v>
      </c>
      <c r="E486" s="185">
        <v>0.15</v>
      </c>
      <c r="F486" s="165"/>
      <c r="G486" s="176">
        <v>4</v>
      </c>
      <c r="H486" s="153"/>
      <c r="I486" s="167">
        <f>SUM(I474:I484)*15%</f>
        <v>319470.98860384617</v>
      </c>
      <c r="J486" s="909"/>
      <c r="K486" s="111"/>
      <c r="L486" s="111"/>
      <c r="M486" s="111"/>
      <c r="N486" s="111"/>
      <c r="O486" s="111"/>
      <c r="P486" s="111"/>
      <c r="Q486" s="111"/>
      <c r="R486" s="111"/>
      <c r="S486" s="712"/>
      <c r="T486" s="169" t="s">
        <v>946</v>
      </c>
      <c r="U486" s="169" t="s">
        <v>946</v>
      </c>
      <c r="V486" s="121" t="s">
        <v>881</v>
      </c>
      <c r="W486" s="121" t="s">
        <v>964</v>
      </c>
      <c r="X486" s="170">
        <f>I486/4</f>
        <v>79867.747150961543</v>
      </c>
      <c r="Y486" s="200">
        <f t="shared" si="517"/>
        <v>4</v>
      </c>
      <c r="Z486" s="167">
        <f t="shared" si="518"/>
        <v>319470.98860384617</v>
      </c>
      <c r="AA486" s="111"/>
      <c r="AB486" s="111"/>
      <c r="AC486" s="111"/>
      <c r="AD486" s="111"/>
      <c r="AE486" s="111"/>
      <c r="AF486" s="111"/>
      <c r="AG486" s="67"/>
    </row>
    <row r="487" spans="1:33">
      <c r="A487" s="134"/>
      <c r="B487" s="212" t="s">
        <v>770</v>
      </c>
      <c r="C487" s="212"/>
      <c r="D487" s="212"/>
      <c r="E487" s="212"/>
      <c r="F487" s="212"/>
      <c r="G487" s="178"/>
      <c r="H487" s="178"/>
      <c r="I487" s="178">
        <f>SUM(I474:I486)</f>
        <v>2662258.2383653848</v>
      </c>
      <c r="J487" s="111"/>
      <c r="K487" s="111"/>
      <c r="L487" s="111"/>
      <c r="M487" s="111"/>
      <c r="N487" s="111"/>
      <c r="O487" s="111"/>
      <c r="P487" s="111"/>
      <c r="Q487" s="111"/>
      <c r="R487" s="111"/>
      <c r="S487" s="712"/>
      <c r="T487" s="111"/>
      <c r="U487" s="111"/>
      <c r="V487" s="111"/>
      <c r="W487" s="111"/>
      <c r="X487" s="132"/>
      <c r="Y487" s="133"/>
      <c r="Z487" s="132"/>
      <c r="AA487" s="111"/>
      <c r="AB487" s="111"/>
      <c r="AC487" s="111"/>
      <c r="AD487" s="111"/>
      <c r="AE487" s="111"/>
      <c r="AF487" s="111"/>
      <c r="AG487" s="67"/>
    </row>
    <row r="488" spans="1:33">
      <c r="A488" s="9"/>
      <c r="B488" s="111"/>
      <c r="C488" s="111"/>
      <c r="D488" s="111"/>
      <c r="E488" s="111"/>
      <c r="F488" s="111"/>
      <c r="G488" s="111"/>
      <c r="H488" s="151"/>
      <c r="I488" s="132"/>
      <c r="J488" s="111"/>
      <c r="K488" s="111"/>
      <c r="L488" s="111"/>
      <c r="M488" s="111"/>
      <c r="N488" s="111"/>
      <c r="O488" s="111"/>
      <c r="P488" s="111"/>
      <c r="Q488" s="111"/>
      <c r="R488" s="111"/>
      <c r="S488" s="712"/>
      <c r="T488" s="111"/>
      <c r="U488" s="111"/>
      <c r="V488" s="111"/>
      <c r="W488" s="111"/>
      <c r="X488" s="111"/>
      <c r="Y488" s="111"/>
      <c r="Z488" s="111"/>
      <c r="AA488" s="111"/>
      <c r="AB488" s="111"/>
      <c r="AC488" s="111"/>
      <c r="AD488" s="111"/>
      <c r="AE488" s="111"/>
      <c r="AF488" s="111"/>
      <c r="AG488" s="67"/>
    </row>
    <row r="489" spans="1:33">
      <c r="A489" s="4"/>
      <c r="B489" s="227" t="s">
        <v>1198</v>
      </c>
      <c r="C489" s="228"/>
      <c r="D489" s="228"/>
      <c r="E489" s="228"/>
      <c r="F489" s="228"/>
      <c r="G489" s="228"/>
      <c r="H489" s="151"/>
      <c r="I489" s="132"/>
      <c r="J489" s="111"/>
      <c r="K489" s="111"/>
      <c r="L489" s="111"/>
      <c r="M489" s="111"/>
      <c r="N489" s="111"/>
      <c r="O489" s="111"/>
      <c r="P489" s="111"/>
      <c r="Q489" s="111"/>
      <c r="R489" s="111"/>
      <c r="S489" s="712"/>
      <c r="T489" s="111"/>
      <c r="U489" s="111"/>
      <c r="V489" s="111"/>
      <c r="W489" s="111"/>
      <c r="X489" s="111"/>
      <c r="Y489" s="111"/>
      <c r="Z489" s="111"/>
      <c r="AA489" s="111"/>
      <c r="AB489" s="111"/>
      <c r="AC489" s="111"/>
      <c r="AD489" s="111"/>
      <c r="AE489" s="111"/>
      <c r="AF489" s="111"/>
      <c r="AG489" s="67"/>
    </row>
    <row r="490" spans="1:33">
      <c r="A490" s="9"/>
      <c r="B490" s="228"/>
      <c r="C490" s="228" t="s">
        <v>1199</v>
      </c>
      <c r="D490" s="228" t="s">
        <v>1200</v>
      </c>
      <c r="E490" s="228" t="s">
        <v>1201</v>
      </c>
      <c r="F490" s="228" t="s">
        <v>1202</v>
      </c>
      <c r="G490" s="228" t="s">
        <v>1203</v>
      </c>
      <c r="H490" s="151"/>
      <c r="I490" s="132"/>
      <c r="J490" s="111"/>
      <c r="K490" s="111"/>
      <c r="L490" s="111"/>
      <c r="M490" s="111"/>
      <c r="N490" s="111"/>
      <c r="O490" s="111"/>
      <c r="P490" s="111"/>
      <c r="Q490" s="111"/>
      <c r="R490" s="111"/>
      <c r="S490" s="712"/>
      <c r="T490" s="111"/>
      <c r="U490" s="111"/>
      <c r="V490" s="111"/>
      <c r="W490" s="111"/>
      <c r="X490" s="111"/>
      <c r="Y490" s="111"/>
      <c r="Z490" s="111"/>
      <c r="AA490" s="111"/>
      <c r="AB490" s="111"/>
      <c r="AC490" s="111"/>
      <c r="AD490" s="111"/>
      <c r="AE490" s="111"/>
      <c r="AF490" s="111"/>
      <c r="AG490" s="67"/>
    </row>
    <row r="491" spans="1:33">
      <c r="A491" s="9"/>
      <c r="B491" s="228">
        <v>1</v>
      </c>
      <c r="C491" s="228" t="s">
        <v>1204</v>
      </c>
      <c r="D491" s="228" t="s">
        <v>1205</v>
      </c>
      <c r="E491" s="228">
        <v>300</v>
      </c>
      <c r="F491" s="228">
        <v>200</v>
      </c>
      <c r="G491" s="228">
        <v>60000</v>
      </c>
      <c r="H491" s="151"/>
      <c r="I491" s="132"/>
      <c r="J491" s="111"/>
      <c r="K491" s="111"/>
      <c r="L491" s="111"/>
      <c r="M491" s="111"/>
      <c r="N491" s="111"/>
      <c r="O491" s="111"/>
      <c r="P491" s="111"/>
      <c r="Q491" s="111"/>
      <c r="R491" s="111"/>
      <c r="S491" s="712"/>
      <c r="T491" s="111"/>
      <c r="U491" s="111"/>
      <c r="V491" s="111"/>
      <c r="W491" s="111"/>
      <c r="X491" s="111"/>
      <c r="Y491" s="111"/>
      <c r="Z491" s="111"/>
      <c r="AA491" s="111"/>
      <c r="AB491" s="111"/>
      <c r="AC491" s="111"/>
      <c r="AD491" s="111"/>
      <c r="AE491" s="111"/>
      <c r="AF491" s="111"/>
      <c r="AG491" s="67"/>
    </row>
    <row r="492" spans="1:33">
      <c r="A492" s="9"/>
      <c r="B492" s="228">
        <v>2</v>
      </c>
      <c r="C492" s="228" t="s">
        <v>1206</v>
      </c>
      <c r="D492" s="228" t="s">
        <v>1205</v>
      </c>
      <c r="E492" s="228" t="s">
        <v>1207</v>
      </c>
      <c r="F492" s="228">
        <v>500</v>
      </c>
      <c r="G492" s="228">
        <v>40000</v>
      </c>
      <c r="H492" s="151"/>
      <c r="I492" s="132"/>
      <c r="J492" s="111"/>
      <c r="K492" s="111"/>
      <c r="L492" s="111"/>
      <c r="M492" s="111"/>
      <c r="N492" s="111"/>
      <c r="O492" s="111"/>
      <c r="P492" s="111"/>
      <c r="Q492" s="111"/>
      <c r="R492" s="111"/>
      <c r="S492" s="712"/>
      <c r="T492" s="111"/>
      <c r="U492" s="111"/>
      <c r="V492" s="111"/>
      <c r="W492" s="111"/>
      <c r="X492" s="111"/>
      <c r="Y492" s="111"/>
      <c r="Z492" s="111"/>
      <c r="AA492" s="111"/>
      <c r="AB492" s="111"/>
      <c r="AC492" s="111"/>
      <c r="AD492" s="111"/>
      <c r="AE492" s="111"/>
      <c r="AF492" s="111"/>
      <c r="AG492" s="67"/>
    </row>
    <row r="493" spans="1:33">
      <c r="A493" s="9"/>
      <c r="B493" s="228">
        <v>3</v>
      </c>
      <c r="C493" s="228" t="s">
        <v>1208</v>
      </c>
      <c r="D493" s="228" t="s">
        <v>1209</v>
      </c>
      <c r="E493" s="228">
        <v>4000</v>
      </c>
      <c r="F493" s="228">
        <v>40</v>
      </c>
      <c r="G493" s="228">
        <v>160000</v>
      </c>
      <c r="H493" s="151"/>
      <c r="I493" s="132"/>
      <c r="J493" s="111"/>
      <c r="K493" s="111"/>
      <c r="L493" s="111"/>
      <c r="M493" s="111"/>
      <c r="N493" s="111"/>
      <c r="O493" s="111"/>
      <c r="P493" s="111"/>
      <c r="Q493" s="111"/>
      <c r="R493" s="111"/>
      <c r="S493" s="712"/>
      <c r="T493" s="111"/>
      <c r="U493" s="111"/>
      <c r="V493" s="111"/>
      <c r="W493" s="111"/>
      <c r="X493" s="111"/>
      <c r="Y493" s="111"/>
      <c r="Z493" s="111"/>
      <c r="AA493" s="111"/>
      <c r="AB493" s="111"/>
      <c r="AC493" s="111"/>
      <c r="AD493" s="111"/>
      <c r="AE493" s="111"/>
      <c r="AF493" s="111"/>
      <c r="AG493" s="67"/>
    </row>
    <row r="494" spans="1:33">
      <c r="A494" s="9"/>
      <c r="B494" s="228">
        <v>4</v>
      </c>
      <c r="C494" s="228" t="s">
        <v>1210</v>
      </c>
      <c r="D494" s="228" t="s">
        <v>1209</v>
      </c>
      <c r="E494" s="228">
        <v>2000</v>
      </c>
      <c r="F494" s="228">
        <v>40</v>
      </c>
      <c r="G494" s="228">
        <v>80000</v>
      </c>
      <c r="H494" s="151"/>
      <c r="I494" s="132"/>
      <c r="J494" s="111"/>
      <c r="K494" s="111"/>
      <c r="L494" s="111"/>
      <c r="M494" s="111"/>
      <c r="N494" s="111"/>
      <c r="O494" s="111"/>
      <c r="P494" s="111"/>
      <c r="Q494" s="111"/>
      <c r="R494" s="111"/>
      <c r="S494" s="712"/>
      <c r="T494" s="111"/>
      <c r="U494" s="111"/>
      <c r="V494" s="111"/>
      <c r="W494" s="111"/>
      <c r="X494" s="111"/>
      <c r="Y494" s="111"/>
      <c r="Z494" s="111"/>
      <c r="AA494" s="111"/>
      <c r="AB494" s="111"/>
      <c r="AC494" s="111"/>
      <c r="AD494" s="111"/>
      <c r="AE494" s="111"/>
      <c r="AF494" s="111"/>
      <c r="AG494" s="67"/>
    </row>
    <row r="495" spans="1:33">
      <c r="A495" s="9"/>
      <c r="B495" s="228">
        <v>5</v>
      </c>
      <c r="C495" s="228" t="s">
        <v>1211</v>
      </c>
      <c r="D495" s="228" t="s">
        <v>1209</v>
      </c>
      <c r="E495" s="228">
        <v>3000</v>
      </c>
      <c r="F495" s="228">
        <v>2</v>
      </c>
      <c r="G495" s="228">
        <v>6000</v>
      </c>
      <c r="H495" s="151"/>
      <c r="I495" s="132"/>
      <c r="J495" s="111"/>
      <c r="K495" s="111"/>
      <c r="L495" s="111"/>
      <c r="M495" s="111"/>
      <c r="N495" s="111"/>
      <c r="O495" s="111"/>
      <c r="P495" s="111"/>
      <c r="Q495" s="111"/>
      <c r="R495" s="111"/>
      <c r="S495" s="712"/>
      <c r="T495" s="111"/>
      <c r="U495" s="111"/>
      <c r="V495" s="111"/>
      <c r="W495" s="111"/>
      <c r="X495" s="111"/>
      <c r="Y495" s="111"/>
      <c r="Z495" s="111"/>
      <c r="AA495" s="111"/>
      <c r="AB495" s="111"/>
      <c r="AC495" s="111"/>
      <c r="AD495" s="111"/>
      <c r="AE495" s="111"/>
      <c r="AF495" s="111"/>
      <c r="AG495" s="67"/>
    </row>
    <row r="496" spans="1:33">
      <c r="A496" s="9"/>
      <c r="B496" s="228">
        <v>6</v>
      </c>
      <c r="C496" s="228" t="s">
        <v>1212</v>
      </c>
      <c r="D496" s="228" t="s">
        <v>1209</v>
      </c>
      <c r="E496" s="228">
        <v>700</v>
      </c>
      <c r="F496" s="228">
        <v>20</v>
      </c>
      <c r="G496" s="228">
        <v>14000</v>
      </c>
      <c r="H496" s="151"/>
      <c r="I496" s="132"/>
      <c r="J496" s="111"/>
      <c r="K496" s="111"/>
      <c r="L496" s="111"/>
      <c r="M496" s="111"/>
      <c r="N496" s="111"/>
      <c r="O496" s="111"/>
      <c r="P496" s="111"/>
      <c r="Q496" s="111"/>
      <c r="R496" s="111"/>
      <c r="S496" s="712"/>
      <c r="T496" s="111"/>
      <c r="U496" s="111"/>
      <c r="V496" s="111"/>
      <c r="W496" s="111"/>
      <c r="X496" s="111"/>
      <c r="Y496" s="111"/>
      <c r="Z496" s="111"/>
      <c r="AA496" s="111"/>
      <c r="AB496" s="111"/>
      <c r="AC496" s="111"/>
      <c r="AD496" s="111"/>
      <c r="AE496" s="111"/>
      <c r="AF496" s="111"/>
      <c r="AG496" s="67"/>
    </row>
    <row r="497" spans="1:33">
      <c r="A497" s="9"/>
      <c r="B497" s="228">
        <v>7</v>
      </c>
      <c r="C497" s="228" t="s">
        <v>1213</v>
      </c>
      <c r="D497" s="228" t="s">
        <v>1209</v>
      </c>
      <c r="E497" s="228">
        <v>3000</v>
      </c>
      <c r="F497" s="228">
        <v>1</v>
      </c>
      <c r="G497" s="228">
        <v>3000</v>
      </c>
      <c r="H497" s="151"/>
      <c r="I497" s="132"/>
      <c r="J497" s="111"/>
      <c r="K497" s="111"/>
      <c r="L497" s="111"/>
      <c r="M497" s="111"/>
      <c r="N497" s="111"/>
      <c r="O497" s="111"/>
      <c r="P497" s="111"/>
      <c r="Q497" s="111"/>
      <c r="R497" s="111"/>
      <c r="S497" s="712"/>
      <c r="T497" s="111"/>
      <c r="U497" s="111"/>
      <c r="V497" s="111"/>
      <c r="W497" s="111"/>
      <c r="X497" s="111"/>
      <c r="Y497" s="111"/>
      <c r="Z497" s="111"/>
      <c r="AA497" s="111"/>
      <c r="AB497" s="111"/>
      <c r="AC497" s="111"/>
      <c r="AD497" s="111"/>
      <c r="AE497" s="111"/>
      <c r="AF497" s="111"/>
      <c r="AG497" s="67"/>
    </row>
    <row r="498" spans="1:33">
      <c r="A498" s="9"/>
      <c r="B498" s="228">
        <v>8</v>
      </c>
      <c r="C498" s="228" t="s">
        <v>1214</v>
      </c>
      <c r="D498" s="228" t="s">
        <v>1209</v>
      </c>
      <c r="E498" s="228">
        <v>500</v>
      </c>
      <c r="F498" s="228">
        <v>2</v>
      </c>
      <c r="G498" s="228">
        <v>1000</v>
      </c>
      <c r="H498" s="151"/>
      <c r="I498" s="132"/>
      <c r="J498" s="111"/>
      <c r="K498" s="111"/>
      <c r="L498" s="111"/>
      <c r="M498" s="111"/>
      <c r="N498" s="111"/>
      <c r="O498" s="111"/>
      <c r="P498" s="111"/>
      <c r="Q498" s="111"/>
      <c r="R498" s="111"/>
      <c r="S498" s="712"/>
      <c r="T498" s="111"/>
      <c r="U498" s="111"/>
      <c r="V498" s="111"/>
      <c r="W498" s="111"/>
      <c r="X498" s="111"/>
      <c r="Y498" s="111"/>
      <c r="Z498" s="111"/>
      <c r="AA498" s="111"/>
      <c r="AB498" s="111"/>
      <c r="AC498" s="111"/>
      <c r="AD498" s="111"/>
      <c r="AE498" s="111"/>
      <c r="AF498" s="111"/>
      <c r="AG498" s="67"/>
    </row>
    <row r="499" spans="1:33">
      <c r="A499" s="9"/>
      <c r="B499" s="228">
        <v>9</v>
      </c>
      <c r="C499" s="228" t="s">
        <v>1215</v>
      </c>
      <c r="D499" s="228" t="s">
        <v>1209</v>
      </c>
      <c r="E499" s="228">
        <v>3000</v>
      </c>
      <c r="F499" s="228">
        <v>5</v>
      </c>
      <c r="G499" s="228">
        <v>15000</v>
      </c>
      <c r="H499" s="151"/>
      <c r="I499" s="132"/>
      <c r="J499" s="111"/>
      <c r="K499" s="111"/>
      <c r="L499" s="111"/>
      <c r="M499" s="111"/>
      <c r="N499" s="111"/>
      <c r="O499" s="111"/>
      <c r="P499" s="111"/>
      <c r="Q499" s="111"/>
      <c r="R499" s="111"/>
      <c r="S499" s="712"/>
      <c r="T499" s="111"/>
      <c r="U499" s="111"/>
      <c r="V499" s="111"/>
      <c r="W499" s="111"/>
      <c r="X499" s="111"/>
      <c r="Y499" s="111"/>
      <c r="Z499" s="111"/>
      <c r="AA499" s="111"/>
      <c r="AB499" s="111"/>
      <c r="AC499" s="111"/>
      <c r="AD499" s="111"/>
      <c r="AE499" s="111"/>
      <c r="AF499" s="111"/>
      <c r="AG499" s="67"/>
    </row>
    <row r="500" spans="1:33">
      <c r="A500" s="9"/>
      <c r="B500" s="228">
        <v>10</v>
      </c>
      <c r="C500" s="228" t="s">
        <v>1216</v>
      </c>
      <c r="D500" s="228" t="s">
        <v>1209</v>
      </c>
      <c r="E500" s="228">
        <v>1000</v>
      </c>
      <c r="F500" s="228">
        <v>3</v>
      </c>
      <c r="G500" s="228">
        <v>3000</v>
      </c>
      <c r="H500" s="151"/>
      <c r="I500" s="132"/>
      <c r="J500" s="111"/>
      <c r="K500" s="111"/>
      <c r="L500" s="111"/>
      <c r="M500" s="111"/>
      <c r="N500" s="111"/>
      <c r="O500" s="111"/>
      <c r="P500" s="111"/>
      <c r="Q500" s="111"/>
      <c r="R500" s="111"/>
      <c r="S500" s="712"/>
      <c r="T500" s="111"/>
      <c r="U500" s="111"/>
      <c r="V500" s="111"/>
      <c r="W500" s="111"/>
      <c r="X500" s="111"/>
      <c r="Y500" s="111"/>
      <c r="Z500" s="111"/>
      <c r="AA500" s="111"/>
      <c r="AB500" s="111"/>
      <c r="AC500" s="111"/>
      <c r="AD500" s="111"/>
      <c r="AE500" s="111"/>
      <c r="AF500" s="111"/>
      <c r="AG500" s="67"/>
    </row>
    <row r="501" spans="1:33">
      <c r="A501" s="9"/>
      <c r="B501" s="227">
        <v>11</v>
      </c>
      <c r="C501" s="227" t="s">
        <v>1217</v>
      </c>
      <c r="D501" s="227" t="s">
        <v>1209</v>
      </c>
      <c r="E501" s="227">
        <v>1500</v>
      </c>
      <c r="F501" s="227">
        <v>40</v>
      </c>
      <c r="G501" s="227">
        <v>60000</v>
      </c>
      <c r="H501" s="151"/>
      <c r="I501" s="132"/>
      <c r="J501" s="111"/>
      <c r="K501" s="111"/>
      <c r="L501" s="111"/>
      <c r="M501" s="111"/>
      <c r="N501" s="111"/>
      <c r="O501" s="111"/>
      <c r="P501" s="111"/>
      <c r="Q501" s="111"/>
      <c r="R501" s="111"/>
      <c r="S501" s="712"/>
      <c r="T501" s="111"/>
      <c r="U501" s="111"/>
      <c r="V501" s="111"/>
      <c r="W501" s="111"/>
      <c r="X501" s="111"/>
      <c r="Y501" s="111"/>
      <c r="Z501" s="111"/>
      <c r="AA501" s="111"/>
      <c r="AB501" s="111"/>
      <c r="AC501" s="111"/>
      <c r="AD501" s="111"/>
      <c r="AE501" s="111"/>
      <c r="AF501" s="111"/>
      <c r="AG501" s="67"/>
    </row>
    <row r="502" spans="1:33">
      <c r="A502" s="9"/>
      <c r="B502" s="227">
        <v>12</v>
      </c>
      <c r="C502" s="227" t="s">
        <v>1218</v>
      </c>
      <c r="D502" s="227" t="s">
        <v>1205</v>
      </c>
      <c r="E502" s="227">
        <v>400</v>
      </c>
      <c r="F502" s="227">
        <v>500</v>
      </c>
      <c r="G502" s="227">
        <v>200000</v>
      </c>
      <c r="H502" s="151"/>
      <c r="I502" s="132"/>
      <c r="J502" s="111"/>
      <c r="K502" s="111"/>
      <c r="L502" s="111"/>
      <c r="M502" s="111"/>
      <c r="N502" s="111"/>
      <c r="O502" s="111"/>
      <c r="P502" s="111"/>
      <c r="Q502" s="111"/>
      <c r="R502" s="111"/>
      <c r="S502" s="712"/>
      <c r="T502" s="111"/>
      <c r="U502" s="111"/>
      <c r="V502" s="111"/>
      <c r="W502" s="111"/>
      <c r="X502" s="111"/>
      <c r="Y502" s="111"/>
      <c r="Z502" s="111"/>
      <c r="AA502" s="111"/>
      <c r="AB502" s="111"/>
      <c r="AC502" s="111"/>
      <c r="AD502" s="111"/>
      <c r="AE502" s="111"/>
      <c r="AF502" s="111"/>
      <c r="AG502" s="67"/>
    </row>
    <row r="503" spans="1:33">
      <c r="A503" s="9"/>
      <c r="B503" s="227" t="s">
        <v>1219</v>
      </c>
      <c r="C503" s="227"/>
      <c r="D503" s="227"/>
      <c r="E503" s="227"/>
      <c r="F503" s="227"/>
      <c r="G503" s="227">
        <v>642000</v>
      </c>
      <c r="H503" s="151"/>
      <c r="I503" s="132"/>
      <c r="J503" s="111"/>
      <c r="K503" s="111"/>
      <c r="L503" s="111"/>
      <c r="M503" s="111"/>
      <c r="N503" s="111"/>
      <c r="O503" s="111"/>
      <c r="P503" s="111"/>
      <c r="Q503" s="111"/>
      <c r="R503" s="111"/>
      <c r="S503" s="712"/>
      <c r="T503" s="111"/>
      <c r="U503" s="111"/>
      <c r="V503" s="111"/>
      <c r="W503" s="111"/>
      <c r="X503" s="111"/>
      <c r="Y503" s="111"/>
      <c r="Z503" s="111"/>
      <c r="AA503" s="111"/>
      <c r="AB503" s="111"/>
      <c r="AC503" s="111"/>
      <c r="AD503" s="111"/>
      <c r="AE503" s="111"/>
      <c r="AF503" s="111"/>
      <c r="AG503" s="67"/>
    </row>
    <row r="504" spans="1:33">
      <c r="A504" s="9"/>
      <c r="B504" s="111"/>
      <c r="C504" s="111"/>
      <c r="D504" s="111"/>
      <c r="E504" s="111"/>
      <c r="F504" s="111"/>
      <c r="G504" s="111"/>
      <c r="H504" s="151"/>
      <c r="I504" s="132"/>
      <c r="J504" s="111"/>
      <c r="K504" s="111"/>
      <c r="L504" s="111"/>
      <c r="M504" s="111"/>
      <c r="N504" s="111"/>
      <c r="O504" s="111"/>
      <c r="P504" s="111"/>
      <c r="Q504" s="111"/>
      <c r="R504" s="111"/>
      <c r="S504" s="712"/>
      <c r="T504" s="111"/>
      <c r="U504" s="111"/>
      <c r="V504" s="111"/>
      <c r="W504" s="111"/>
      <c r="X504" s="111"/>
      <c r="Y504" s="111"/>
      <c r="Z504" s="111"/>
      <c r="AA504" s="111"/>
      <c r="AB504" s="111"/>
      <c r="AC504" s="111"/>
      <c r="AD504" s="111"/>
      <c r="AE504" s="111"/>
      <c r="AF504" s="111"/>
      <c r="AG504" s="67"/>
    </row>
    <row r="505" spans="1:33">
      <c r="A505" s="9"/>
      <c r="B505" s="111"/>
      <c r="C505" s="111"/>
      <c r="D505" s="111"/>
      <c r="E505" s="111"/>
      <c r="F505" s="111"/>
      <c r="G505" s="111"/>
      <c r="H505" s="151"/>
      <c r="I505" s="132"/>
      <c r="J505" s="111"/>
      <c r="K505" s="111"/>
      <c r="L505" s="111"/>
      <c r="M505" s="111"/>
      <c r="N505" s="111"/>
      <c r="O505" s="111"/>
      <c r="P505" s="111"/>
      <c r="Q505" s="111"/>
      <c r="R505" s="111"/>
      <c r="S505" s="712"/>
      <c r="T505" s="111"/>
      <c r="U505" s="111"/>
      <c r="V505" s="111"/>
      <c r="W505" s="111"/>
      <c r="X505" s="111"/>
      <c r="Y505" s="111"/>
      <c r="Z505" s="111"/>
      <c r="AA505" s="111"/>
      <c r="AB505" s="111"/>
      <c r="AC505" s="111"/>
      <c r="AD505" s="111"/>
      <c r="AE505" s="111"/>
      <c r="AF505" s="111"/>
      <c r="AG505" s="67"/>
    </row>
    <row r="506" spans="1:33">
      <c r="A506" s="9"/>
      <c r="B506" s="111"/>
      <c r="C506" s="111"/>
      <c r="D506" s="111"/>
      <c r="E506" s="111"/>
      <c r="F506" s="111"/>
      <c r="G506" s="111"/>
      <c r="H506" s="151"/>
      <c r="I506" s="111"/>
      <c r="J506" s="111"/>
      <c r="K506" s="111"/>
      <c r="L506" s="111"/>
      <c r="M506" s="111"/>
      <c r="N506" s="111"/>
      <c r="O506" s="111"/>
      <c r="P506" s="111"/>
      <c r="Q506" s="111"/>
      <c r="R506" s="111"/>
      <c r="S506" s="712"/>
      <c r="T506" s="111"/>
      <c r="U506" s="111"/>
      <c r="V506" s="111"/>
      <c r="W506" s="111"/>
      <c r="X506" s="111"/>
      <c r="Y506" s="111"/>
      <c r="Z506" s="111"/>
      <c r="AA506" s="111"/>
      <c r="AB506" s="111"/>
      <c r="AC506" s="111"/>
      <c r="AD506" s="111"/>
      <c r="AE506" s="111"/>
      <c r="AF506" s="111"/>
      <c r="AG506" s="67"/>
    </row>
    <row r="507" spans="1:33">
      <c r="A507" s="725">
        <v>27</v>
      </c>
      <c r="B507" s="726" t="e" vm="1">
        <f>'[2]AUN Budget'!E136</f>
        <v>#VALUE!</v>
      </c>
      <c r="C507" s="731"/>
      <c r="D507" s="731"/>
      <c r="E507" s="731"/>
      <c r="F507" s="731"/>
      <c r="G507" s="731"/>
      <c r="H507" s="731"/>
      <c r="I507" s="216">
        <v>3000</v>
      </c>
      <c r="J507" s="216">
        <v>3000</v>
      </c>
      <c r="K507" s="216">
        <v>3000</v>
      </c>
      <c r="L507" s="111"/>
      <c r="M507" s="111"/>
      <c r="N507" s="111"/>
      <c r="O507" s="111"/>
      <c r="P507" s="111"/>
      <c r="Q507" s="111"/>
      <c r="R507" s="111"/>
      <c r="S507" s="712"/>
      <c r="T507" s="111"/>
      <c r="U507" s="111"/>
      <c r="V507" s="111"/>
      <c r="W507" s="111"/>
      <c r="X507" s="132"/>
      <c r="Y507" s="133"/>
      <c r="Z507" s="132"/>
      <c r="AA507" s="132"/>
      <c r="AB507" s="133"/>
      <c r="AC507" s="132"/>
      <c r="AD507" s="132"/>
      <c r="AE507" s="133"/>
      <c r="AF507" s="132"/>
      <c r="AG507" s="67"/>
    </row>
    <row r="508" spans="1:33">
      <c r="A508" s="157" t="s">
        <v>30</v>
      </c>
      <c r="B508" s="113" t="s">
        <v>755</v>
      </c>
      <c r="C508" s="113" t="s">
        <v>966</v>
      </c>
      <c r="D508" s="113" t="s">
        <v>967</v>
      </c>
      <c r="E508" s="113" t="s">
        <v>968</v>
      </c>
      <c r="F508" s="113" t="s">
        <v>969</v>
      </c>
      <c r="G508" s="113" t="s">
        <v>970</v>
      </c>
      <c r="H508" s="113" t="s">
        <v>971</v>
      </c>
      <c r="I508" s="113" t="s">
        <v>972</v>
      </c>
      <c r="J508" s="113" t="s">
        <v>973</v>
      </c>
      <c r="K508" s="113" t="s">
        <v>974</v>
      </c>
      <c r="L508" s="111"/>
      <c r="M508" s="111"/>
      <c r="N508" s="111"/>
      <c r="O508" s="111"/>
      <c r="P508" s="182"/>
      <c r="Q508" s="182"/>
      <c r="R508" s="182"/>
      <c r="S508" s="727"/>
      <c r="T508" s="159" t="s">
        <v>387</v>
      </c>
      <c r="U508" s="159" t="s">
        <v>388</v>
      </c>
      <c r="V508" s="159" t="s">
        <v>934</v>
      </c>
      <c r="W508" s="160" t="s">
        <v>935</v>
      </c>
      <c r="X508" s="161" t="s">
        <v>936</v>
      </c>
      <c r="Y508" s="162" t="s">
        <v>937</v>
      </c>
      <c r="Z508" s="161" t="s">
        <v>938</v>
      </c>
      <c r="AA508" s="161" t="s">
        <v>939</v>
      </c>
      <c r="AB508" s="162" t="s">
        <v>940</v>
      </c>
      <c r="AC508" s="161" t="s">
        <v>941</v>
      </c>
      <c r="AD508" s="161" t="s">
        <v>942</v>
      </c>
      <c r="AE508" s="162" t="s">
        <v>943</v>
      </c>
      <c r="AF508" s="161" t="s">
        <v>944</v>
      </c>
      <c r="AG508" s="67"/>
    </row>
    <row r="509" spans="1:33">
      <c r="A509" s="134"/>
      <c r="B509" s="153">
        <v>1</v>
      </c>
      <c r="C509" s="121" t="s">
        <v>978</v>
      </c>
      <c r="D509" s="121" t="s">
        <v>1220</v>
      </c>
      <c r="E509" s="209">
        <v>1</v>
      </c>
      <c r="F509" s="164">
        <v>1</v>
      </c>
      <c r="G509" s="164">
        <f>'Assumptions HR_AUN'!$F$8</f>
        <v>80.053187003968247</v>
      </c>
      <c r="H509" s="164">
        <f t="shared" ref="H509:H512" si="523">E509*F509*G509</f>
        <v>80.053187003968247</v>
      </c>
      <c r="I509" s="164">
        <f t="shared" ref="I509:K509" si="524">$H509*I$507</f>
        <v>240159.56101190473</v>
      </c>
      <c r="J509" s="164">
        <f t="shared" si="524"/>
        <v>240159.56101190473</v>
      </c>
      <c r="K509" s="164">
        <f t="shared" si="524"/>
        <v>240159.56101190473</v>
      </c>
      <c r="L509" s="111"/>
      <c r="M509" s="111"/>
      <c r="N509" s="111"/>
      <c r="O509" s="111"/>
      <c r="P509" s="111"/>
      <c r="Q509" s="111"/>
      <c r="R509" s="111"/>
      <c r="S509" s="712"/>
      <c r="T509" s="169" t="s">
        <v>946</v>
      </c>
      <c r="U509" s="169" t="s">
        <v>946</v>
      </c>
      <c r="V509" s="121" t="s">
        <v>977</v>
      </c>
      <c r="W509" s="121" t="s">
        <v>961</v>
      </c>
      <c r="X509" s="170">
        <f t="shared" ref="X509:X510" si="525">G509*$D$35*$D$36</f>
        <v>40346.806249999994</v>
      </c>
      <c r="Y509" s="200">
        <f t="shared" ref="Y509:Y519" si="526">I509/X509</f>
        <v>5.9523809523809526</v>
      </c>
      <c r="Z509" s="167">
        <f t="shared" ref="Z509:Z519" si="527">X509*Y509</f>
        <v>240159.56101190473</v>
      </c>
      <c r="AA509" s="164">
        <f t="shared" ref="AA509:AA518" si="528">X509</f>
        <v>40346.806249999994</v>
      </c>
      <c r="AB509" s="200">
        <f t="shared" ref="AB509:AB519" si="529">J509/AA509</f>
        <v>5.9523809523809526</v>
      </c>
      <c r="AC509" s="167">
        <f t="shared" ref="AC509:AC519" si="530">AA509*AB509</f>
        <v>240159.56101190473</v>
      </c>
      <c r="AD509" s="164">
        <f t="shared" ref="AD509:AD519" si="531">AA509</f>
        <v>40346.806249999994</v>
      </c>
      <c r="AE509" s="200">
        <f t="shared" ref="AE509:AE519" si="532">K509/AD509</f>
        <v>5.9523809523809526</v>
      </c>
      <c r="AF509" s="167">
        <f t="shared" ref="AF509:AF519" si="533">AD509*AE509</f>
        <v>240159.56101190473</v>
      </c>
      <c r="AG509" s="67"/>
    </row>
    <row r="510" spans="1:33">
      <c r="A510" s="134"/>
      <c r="B510" s="153">
        <v>2</v>
      </c>
      <c r="C510" s="121" t="s">
        <v>978</v>
      </c>
      <c r="D510" s="121" t="s">
        <v>1221</v>
      </c>
      <c r="E510" s="209">
        <v>0.5</v>
      </c>
      <c r="F510" s="164">
        <v>1</v>
      </c>
      <c r="G510" s="164">
        <f>'Assumptions HR_AUN'!$F$8</f>
        <v>80.053187003968247</v>
      </c>
      <c r="H510" s="164">
        <f t="shared" si="523"/>
        <v>40.026593501984124</v>
      </c>
      <c r="I510" s="164">
        <f t="shared" ref="I510:K510" si="534">$H510*I$507</f>
        <v>120079.78050595237</v>
      </c>
      <c r="J510" s="164">
        <f t="shared" si="534"/>
        <v>120079.78050595237</v>
      </c>
      <c r="K510" s="164">
        <f t="shared" si="534"/>
        <v>120079.78050595237</v>
      </c>
      <c r="L510" s="111"/>
      <c r="M510" s="111"/>
      <c r="N510" s="111"/>
      <c r="O510" s="111"/>
      <c r="P510" s="111"/>
      <c r="Q510" s="111"/>
      <c r="R510" s="111"/>
      <c r="S510" s="712"/>
      <c r="T510" s="169" t="s">
        <v>946</v>
      </c>
      <c r="U510" s="169" t="s">
        <v>946</v>
      </c>
      <c r="V510" s="121" t="s">
        <v>977</v>
      </c>
      <c r="W510" s="121" t="s">
        <v>961</v>
      </c>
      <c r="X510" s="170">
        <f t="shared" si="525"/>
        <v>40346.806249999994</v>
      </c>
      <c r="Y510" s="200">
        <f t="shared" si="526"/>
        <v>2.9761904761904763</v>
      </c>
      <c r="Z510" s="167">
        <f t="shared" si="527"/>
        <v>120079.78050595237</v>
      </c>
      <c r="AA510" s="164">
        <f t="shared" si="528"/>
        <v>40346.806249999994</v>
      </c>
      <c r="AB510" s="200">
        <f t="shared" si="529"/>
        <v>2.9761904761904763</v>
      </c>
      <c r="AC510" s="167">
        <f t="shared" si="530"/>
        <v>120079.78050595237</v>
      </c>
      <c r="AD510" s="164">
        <f t="shared" si="531"/>
        <v>40346.806249999994</v>
      </c>
      <c r="AE510" s="200">
        <f t="shared" si="532"/>
        <v>2.9761904761904763</v>
      </c>
      <c r="AF510" s="167">
        <f t="shared" si="533"/>
        <v>120079.78050595237</v>
      </c>
      <c r="AG510" s="67"/>
    </row>
    <row r="511" spans="1:33">
      <c r="A511" s="134"/>
      <c r="B511" s="153">
        <v>3</v>
      </c>
      <c r="C511" s="121" t="s">
        <v>978</v>
      </c>
      <c r="D511" s="121" t="s">
        <v>1222</v>
      </c>
      <c r="E511" s="209">
        <v>1</v>
      </c>
      <c r="F511" s="164">
        <v>4</v>
      </c>
      <c r="G511" s="164">
        <f>'Assumptions HR_AUN'!$F$8</f>
        <v>80.053187003968247</v>
      </c>
      <c r="H511" s="164">
        <f t="shared" si="523"/>
        <v>320.21274801587299</v>
      </c>
      <c r="I511" s="164">
        <f t="shared" ref="I511:K511" si="535">$H511*I$507</f>
        <v>960638.24404761894</v>
      </c>
      <c r="J511" s="164">
        <f t="shared" si="535"/>
        <v>960638.24404761894</v>
      </c>
      <c r="K511" s="164">
        <f t="shared" si="535"/>
        <v>960638.24404761894</v>
      </c>
      <c r="L511" s="111"/>
      <c r="M511" s="111"/>
      <c r="N511" s="111"/>
      <c r="O511" s="111"/>
      <c r="P511" s="111"/>
      <c r="Q511" s="111"/>
      <c r="R511" s="111"/>
      <c r="S511" s="712"/>
      <c r="T511" s="169" t="s">
        <v>946</v>
      </c>
      <c r="U511" s="169" t="s">
        <v>946</v>
      </c>
      <c r="V511" s="121" t="s">
        <v>977</v>
      </c>
      <c r="W511" s="121" t="s">
        <v>961</v>
      </c>
      <c r="X511" s="170">
        <f>'Assumptions HR_AUN'!$F$8*'Assumptions Other_AUN'!$D$35*'Assumptions Other_AUN'!$D$36</f>
        <v>40346.806249999994</v>
      </c>
      <c r="Y511" s="200">
        <f t="shared" si="526"/>
        <v>23.80952380952381</v>
      </c>
      <c r="Z511" s="167">
        <f t="shared" si="527"/>
        <v>960638.24404761894</v>
      </c>
      <c r="AA511" s="164">
        <f t="shared" si="528"/>
        <v>40346.806249999994</v>
      </c>
      <c r="AB511" s="200">
        <f t="shared" si="529"/>
        <v>23.80952380952381</v>
      </c>
      <c r="AC511" s="167">
        <f t="shared" si="530"/>
        <v>960638.24404761894</v>
      </c>
      <c r="AD511" s="164">
        <f t="shared" si="531"/>
        <v>40346.806249999994</v>
      </c>
      <c r="AE511" s="200">
        <f t="shared" si="532"/>
        <v>23.80952380952381</v>
      </c>
      <c r="AF511" s="167">
        <f t="shared" si="533"/>
        <v>960638.24404761894</v>
      </c>
      <c r="AG511" s="67"/>
    </row>
    <row r="512" spans="1:33">
      <c r="A512" s="134"/>
      <c r="B512" s="153">
        <v>4</v>
      </c>
      <c r="C512" s="121" t="s">
        <v>978</v>
      </c>
      <c r="D512" s="121" t="s">
        <v>1223</v>
      </c>
      <c r="E512" s="209">
        <v>1</v>
      </c>
      <c r="F512" s="164">
        <v>3</v>
      </c>
      <c r="G512" s="164">
        <f>'Assumptions HR_AUN'!$F$8</f>
        <v>80.053187003968247</v>
      </c>
      <c r="H512" s="164">
        <f t="shared" si="523"/>
        <v>240.15956101190474</v>
      </c>
      <c r="I512" s="164">
        <f t="shared" ref="I512:K512" si="536">$H512*I$507</f>
        <v>720478.6830357142</v>
      </c>
      <c r="J512" s="164">
        <f t="shared" si="536"/>
        <v>720478.6830357142</v>
      </c>
      <c r="K512" s="164">
        <f t="shared" si="536"/>
        <v>720478.6830357142</v>
      </c>
      <c r="L512" s="111"/>
      <c r="M512" s="111"/>
      <c r="N512" s="111"/>
      <c r="O512" s="111"/>
      <c r="P512" s="111"/>
      <c r="Q512" s="111"/>
      <c r="R512" s="111"/>
      <c r="S512" s="712"/>
      <c r="T512" s="169" t="s">
        <v>946</v>
      </c>
      <c r="U512" s="169" t="s">
        <v>946</v>
      </c>
      <c r="V512" s="121" t="s">
        <v>977</v>
      </c>
      <c r="W512" s="121" t="s">
        <v>961</v>
      </c>
      <c r="X512" s="170">
        <f>'Assumptions HR_AUN'!$F$8*'Assumptions Other_AUN'!$D$35*'Assumptions Other_AUN'!$D$36</f>
        <v>40346.806249999994</v>
      </c>
      <c r="Y512" s="200">
        <f t="shared" si="526"/>
        <v>17.857142857142858</v>
      </c>
      <c r="Z512" s="167">
        <f t="shared" si="527"/>
        <v>720478.6830357142</v>
      </c>
      <c r="AA512" s="164">
        <f t="shared" si="528"/>
        <v>40346.806249999994</v>
      </c>
      <c r="AB512" s="200">
        <f t="shared" si="529"/>
        <v>17.857142857142858</v>
      </c>
      <c r="AC512" s="167">
        <f t="shared" si="530"/>
        <v>720478.6830357142</v>
      </c>
      <c r="AD512" s="164">
        <f t="shared" si="531"/>
        <v>40346.806249999994</v>
      </c>
      <c r="AE512" s="200">
        <f t="shared" si="532"/>
        <v>17.857142857142858</v>
      </c>
      <c r="AF512" s="167">
        <f t="shared" si="533"/>
        <v>720478.6830357142</v>
      </c>
      <c r="AG512" s="67"/>
    </row>
    <row r="513" spans="1:33">
      <c r="A513" s="134"/>
      <c r="B513" s="153">
        <v>5</v>
      </c>
      <c r="C513" s="121" t="s">
        <v>985</v>
      </c>
      <c r="D513" s="121" t="s">
        <v>1224</v>
      </c>
      <c r="E513" s="209"/>
      <c r="F513" s="164">
        <v>2</v>
      </c>
      <c r="G513" s="164">
        <f>$D$32</f>
        <v>60</v>
      </c>
      <c r="H513" s="164">
        <f>F513*G513</f>
        <v>120</v>
      </c>
      <c r="I513" s="164">
        <f t="shared" ref="I513:K513" si="537">$H513*I$507</f>
        <v>360000</v>
      </c>
      <c r="J513" s="164">
        <f t="shared" si="537"/>
        <v>360000</v>
      </c>
      <c r="K513" s="164">
        <f t="shared" si="537"/>
        <v>360000</v>
      </c>
      <c r="L513" s="111"/>
      <c r="M513" s="111"/>
      <c r="N513" s="111"/>
      <c r="O513" s="111"/>
      <c r="P513" s="111"/>
      <c r="Q513" s="111"/>
      <c r="R513" s="111"/>
      <c r="S513" s="712"/>
      <c r="T513" s="169" t="s">
        <v>946</v>
      </c>
      <c r="U513" s="169" t="s">
        <v>946</v>
      </c>
      <c r="V513" s="121" t="s">
        <v>957</v>
      </c>
      <c r="W513" s="121" t="s">
        <v>789</v>
      </c>
      <c r="X513" s="170">
        <f>G513</f>
        <v>60</v>
      </c>
      <c r="Y513" s="200">
        <f t="shared" si="526"/>
        <v>6000</v>
      </c>
      <c r="Z513" s="167">
        <f t="shared" si="527"/>
        <v>360000</v>
      </c>
      <c r="AA513" s="164">
        <f t="shared" si="528"/>
        <v>60</v>
      </c>
      <c r="AB513" s="200">
        <f t="shared" si="529"/>
        <v>6000</v>
      </c>
      <c r="AC513" s="167">
        <f t="shared" si="530"/>
        <v>360000</v>
      </c>
      <c r="AD513" s="164">
        <f t="shared" si="531"/>
        <v>60</v>
      </c>
      <c r="AE513" s="200">
        <f t="shared" si="532"/>
        <v>6000</v>
      </c>
      <c r="AF513" s="167">
        <f t="shared" si="533"/>
        <v>360000</v>
      </c>
      <c r="AG513" s="67"/>
    </row>
    <row r="514" spans="1:33">
      <c r="A514" s="134"/>
      <c r="B514" s="153">
        <v>6</v>
      </c>
      <c r="C514" s="121" t="s">
        <v>978</v>
      </c>
      <c r="D514" s="121" t="s">
        <v>1225</v>
      </c>
      <c r="E514" s="209">
        <v>1</v>
      </c>
      <c r="F514" s="164">
        <v>0.2</v>
      </c>
      <c r="G514" s="164">
        <f>'Assumptions HR_AUN'!$F$8</f>
        <v>80.053187003968247</v>
      </c>
      <c r="H514" s="164">
        <f>G514*F514</f>
        <v>16.010637400793652</v>
      </c>
      <c r="I514" s="164">
        <f t="shared" ref="I514:K514" si="538">$H514*I$507</f>
        <v>48031.912202380954</v>
      </c>
      <c r="J514" s="164">
        <f t="shared" si="538"/>
        <v>48031.912202380954</v>
      </c>
      <c r="K514" s="164">
        <f t="shared" si="538"/>
        <v>48031.912202380954</v>
      </c>
      <c r="L514" s="111"/>
      <c r="M514" s="111"/>
      <c r="N514" s="111"/>
      <c r="O514" s="111"/>
      <c r="P514" s="111"/>
      <c r="Q514" s="111"/>
      <c r="R514" s="111"/>
      <c r="S514" s="712"/>
      <c r="T514" s="169" t="s">
        <v>946</v>
      </c>
      <c r="U514" s="169" t="s">
        <v>946</v>
      </c>
      <c r="V514" s="121" t="s">
        <v>977</v>
      </c>
      <c r="W514" s="121" t="s">
        <v>961</v>
      </c>
      <c r="X514" s="170">
        <f>'Assumptions HR_AUN'!$F$8*'Assumptions Other_AUN'!$D$35*'Assumptions Other_AUN'!$D$36</f>
        <v>40346.806249999994</v>
      </c>
      <c r="Y514" s="200">
        <f t="shared" si="526"/>
        <v>1.1904761904761907</v>
      </c>
      <c r="Z514" s="167">
        <f t="shared" si="527"/>
        <v>48031.912202380954</v>
      </c>
      <c r="AA514" s="164">
        <f t="shared" si="528"/>
        <v>40346.806249999994</v>
      </c>
      <c r="AB514" s="200">
        <f t="shared" si="529"/>
        <v>1.1904761904761907</v>
      </c>
      <c r="AC514" s="167">
        <f t="shared" si="530"/>
        <v>48031.912202380954</v>
      </c>
      <c r="AD514" s="164">
        <f t="shared" si="531"/>
        <v>40346.806249999994</v>
      </c>
      <c r="AE514" s="200">
        <f t="shared" si="532"/>
        <v>1.1904761904761907</v>
      </c>
      <c r="AF514" s="167">
        <f t="shared" si="533"/>
        <v>48031.912202380954</v>
      </c>
      <c r="AG514" s="67"/>
    </row>
    <row r="515" spans="1:33">
      <c r="A515" s="134"/>
      <c r="B515" s="153">
        <v>7</v>
      </c>
      <c r="C515" s="121" t="s">
        <v>992</v>
      </c>
      <c r="D515" s="121" t="s">
        <v>1226</v>
      </c>
      <c r="E515" s="209"/>
      <c r="F515" s="164">
        <v>0.6</v>
      </c>
      <c r="G515" s="164">
        <f>'Assumptions HR_AUN'!$F$8</f>
        <v>80.053187003968247</v>
      </c>
      <c r="H515" s="164">
        <f>F515*G515</f>
        <v>48.031912202380944</v>
      </c>
      <c r="I515" s="164">
        <f t="shared" ref="I515:K515" si="539">$H515*I$507</f>
        <v>144095.73660714284</v>
      </c>
      <c r="J515" s="164">
        <f t="shared" si="539"/>
        <v>144095.73660714284</v>
      </c>
      <c r="K515" s="164">
        <f t="shared" si="539"/>
        <v>144095.73660714284</v>
      </c>
      <c r="L515" s="111"/>
      <c r="M515" s="111"/>
      <c r="N515" s="111"/>
      <c r="O515" s="111"/>
      <c r="P515" s="111"/>
      <c r="Q515" s="111"/>
      <c r="R515" s="111"/>
      <c r="S515" s="712"/>
      <c r="T515" s="169" t="s">
        <v>946</v>
      </c>
      <c r="U515" s="169" t="s">
        <v>946</v>
      </c>
      <c r="V515" s="121" t="s">
        <v>977</v>
      </c>
      <c r="W515" s="121" t="s">
        <v>961</v>
      </c>
      <c r="X515" s="170">
        <f>G515*$D$35*$D$36</f>
        <v>40346.806249999994</v>
      </c>
      <c r="Y515" s="200">
        <f t="shared" si="526"/>
        <v>3.5714285714285716</v>
      </c>
      <c r="Z515" s="167">
        <f t="shared" si="527"/>
        <v>144095.73660714284</v>
      </c>
      <c r="AA515" s="164">
        <f t="shared" si="528"/>
        <v>40346.806249999994</v>
      </c>
      <c r="AB515" s="200">
        <f t="shared" si="529"/>
        <v>3.5714285714285716</v>
      </c>
      <c r="AC515" s="167">
        <f t="shared" si="530"/>
        <v>144095.73660714284</v>
      </c>
      <c r="AD515" s="164">
        <f t="shared" si="531"/>
        <v>40346.806249999994</v>
      </c>
      <c r="AE515" s="200">
        <f t="shared" si="532"/>
        <v>3.5714285714285716</v>
      </c>
      <c r="AF515" s="167">
        <f t="shared" si="533"/>
        <v>144095.73660714284</v>
      </c>
      <c r="AG515" s="67"/>
    </row>
    <row r="516" spans="1:33">
      <c r="A516" s="134"/>
      <c r="B516" s="153">
        <v>8</v>
      </c>
      <c r="C516" s="121" t="s">
        <v>978</v>
      </c>
      <c r="D516" s="121" t="s">
        <v>1227</v>
      </c>
      <c r="E516" s="209">
        <v>1</v>
      </c>
      <c r="F516" s="164">
        <v>0.5</v>
      </c>
      <c r="G516" s="164">
        <f>'Assumptions HR_AUN'!$F$8</f>
        <v>80.053187003968247</v>
      </c>
      <c r="H516" s="164">
        <f>G516*F516</f>
        <v>40.026593501984124</v>
      </c>
      <c r="I516" s="164">
        <f t="shared" ref="I516:K516" si="540">$H516*I$507</f>
        <v>120079.78050595237</v>
      </c>
      <c r="J516" s="164">
        <f t="shared" si="540"/>
        <v>120079.78050595237</v>
      </c>
      <c r="K516" s="164">
        <f t="shared" si="540"/>
        <v>120079.78050595237</v>
      </c>
      <c r="L516" s="111"/>
      <c r="M516" s="111"/>
      <c r="N516" s="111"/>
      <c r="O516" s="111"/>
      <c r="P516" s="111"/>
      <c r="Q516" s="111"/>
      <c r="R516" s="111"/>
      <c r="S516" s="712"/>
      <c r="T516" s="169" t="s">
        <v>946</v>
      </c>
      <c r="U516" s="169" t="s">
        <v>946</v>
      </c>
      <c r="V516" s="121" t="s">
        <v>977</v>
      </c>
      <c r="W516" s="121" t="s">
        <v>961</v>
      </c>
      <c r="X516" s="170">
        <f>'Assumptions HR_AUN'!$F$8*'Assumptions Other_AUN'!$D$35*'Assumptions Other_AUN'!$D$36</f>
        <v>40346.806249999994</v>
      </c>
      <c r="Y516" s="200">
        <f t="shared" si="526"/>
        <v>2.9761904761904763</v>
      </c>
      <c r="Z516" s="167">
        <f t="shared" si="527"/>
        <v>120079.78050595237</v>
      </c>
      <c r="AA516" s="164">
        <f t="shared" si="528"/>
        <v>40346.806249999994</v>
      </c>
      <c r="AB516" s="200">
        <f t="shared" si="529"/>
        <v>2.9761904761904763</v>
      </c>
      <c r="AC516" s="167">
        <f t="shared" si="530"/>
        <v>120079.78050595237</v>
      </c>
      <c r="AD516" s="164">
        <f t="shared" si="531"/>
        <v>40346.806249999994</v>
      </c>
      <c r="AE516" s="200">
        <f t="shared" si="532"/>
        <v>2.9761904761904763</v>
      </c>
      <c r="AF516" s="167">
        <f t="shared" si="533"/>
        <v>120079.78050595237</v>
      </c>
      <c r="AG516" s="67"/>
    </row>
    <row r="517" spans="1:33">
      <c r="A517" s="134"/>
      <c r="B517" s="153">
        <v>9</v>
      </c>
      <c r="C517" s="121" t="s">
        <v>987</v>
      </c>
      <c r="D517" s="121" t="s">
        <v>1228</v>
      </c>
      <c r="E517" s="209"/>
      <c r="F517" s="164">
        <v>4</v>
      </c>
      <c r="G517" s="164">
        <f>$D$19</f>
        <v>244</v>
      </c>
      <c r="H517" s="164">
        <f>F517*G517</f>
        <v>976</v>
      </c>
      <c r="I517" s="164">
        <f t="shared" ref="I517:K517" si="541">$H517*I$507</f>
        <v>2928000</v>
      </c>
      <c r="J517" s="164">
        <f t="shared" si="541"/>
        <v>2928000</v>
      </c>
      <c r="K517" s="164">
        <f t="shared" si="541"/>
        <v>2928000</v>
      </c>
      <c r="L517" s="111"/>
      <c r="M517" s="111"/>
      <c r="N517" s="111"/>
      <c r="O517" s="111"/>
      <c r="P517" s="111"/>
      <c r="Q517" s="111"/>
      <c r="R517" s="111"/>
      <c r="S517" s="712"/>
      <c r="T517" s="169" t="s">
        <v>946</v>
      </c>
      <c r="U517" s="169" t="s">
        <v>946</v>
      </c>
      <c r="V517" s="121" t="s">
        <v>989</v>
      </c>
      <c r="W517" s="121" t="s">
        <v>789</v>
      </c>
      <c r="X517" s="170">
        <f>G517</f>
        <v>244</v>
      </c>
      <c r="Y517" s="200">
        <f t="shared" si="526"/>
        <v>12000</v>
      </c>
      <c r="Z517" s="167">
        <f t="shared" si="527"/>
        <v>2928000</v>
      </c>
      <c r="AA517" s="164">
        <f t="shared" si="528"/>
        <v>244</v>
      </c>
      <c r="AB517" s="200">
        <f t="shared" si="529"/>
        <v>12000</v>
      </c>
      <c r="AC517" s="167">
        <f t="shared" si="530"/>
        <v>2928000</v>
      </c>
      <c r="AD517" s="164">
        <f t="shared" si="531"/>
        <v>244</v>
      </c>
      <c r="AE517" s="200">
        <f t="shared" si="532"/>
        <v>12000</v>
      </c>
      <c r="AF517" s="167">
        <f t="shared" si="533"/>
        <v>2928000</v>
      </c>
      <c r="AG517" s="67"/>
    </row>
    <row r="518" spans="1:33">
      <c r="A518" s="134"/>
      <c r="B518" s="153">
        <v>10</v>
      </c>
      <c r="C518" s="121" t="s">
        <v>1001</v>
      </c>
      <c r="D518" s="121"/>
      <c r="E518" s="209"/>
      <c r="F518" s="164"/>
      <c r="G518" s="185">
        <f>$C$13</f>
        <v>0.1</v>
      </c>
      <c r="H518" s="164">
        <f>SUM(H509:H517)*G518</f>
        <v>188.05212326388889</v>
      </c>
      <c r="I518" s="164">
        <f t="shared" ref="I518:K518" si="542">$H518*I$507</f>
        <v>564156.36979166663</v>
      </c>
      <c r="J518" s="164">
        <f t="shared" si="542"/>
        <v>564156.36979166663</v>
      </c>
      <c r="K518" s="164">
        <f t="shared" si="542"/>
        <v>564156.36979166663</v>
      </c>
      <c r="L518" s="111"/>
      <c r="M518" s="111"/>
      <c r="N518" s="111"/>
      <c r="O518" s="111"/>
      <c r="P518" s="111"/>
      <c r="Q518" s="111"/>
      <c r="R518" s="111"/>
      <c r="S518" s="712"/>
      <c r="T518" s="169" t="s">
        <v>946</v>
      </c>
      <c r="U518" s="169" t="s">
        <v>946</v>
      </c>
      <c r="V518" s="121" t="s">
        <v>875</v>
      </c>
      <c r="W518" s="121" t="s">
        <v>961</v>
      </c>
      <c r="X518" s="170">
        <f>'Assumptions HR_AUN'!$D$4*3</f>
        <v>88211.039066799218</v>
      </c>
      <c r="Y518" s="200">
        <f t="shared" si="526"/>
        <v>6.3955302619715226</v>
      </c>
      <c r="Z518" s="167">
        <f t="shared" si="527"/>
        <v>564156.36979166663</v>
      </c>
      <c r="AA518" s="164">
        <f t="shared" si="528"/>
        <v>88211.039066799218</v>
      </c>
      <c r="AB518" s="200">
        <f t="shared" si="529"/>
        <v>6.3955302619715226</v>
      </c>
      <c r="AC518" s="167">
        <f t="shared" si="530"/>
        <v>564156.36979166663</v>
      </c>
      <c r="AD518" s="164">
        <f t="shared" si="531"/>
        <v>88211.039066799218</v>
      </c>
      <c r="AE518" s="200">
        <f t="shared" si="532"/>
        <v>6.3955302619715226</v>
      </c>
      <c r="AF518" s="167">
        <f t="shared" si="533"/>
        <v>564156.36979166663</v>
      </c>
      <c r="AG518" s="67"/>
    </row>
    <row r="519" spans="1:33">
      <c r="A519" s="134"/>
      <c r="B519" s="153">
        <v>11</v>
      </c>
      <c r="C519" s="121" t="s">
        <v>962</v>
      </c>
      <c r="D519" s="121"/>
      <c r="E519" s="121"/>
      <c r="F519" s="164"/>
      <c r="G519" s="185">
        <f>$C$14</f>
        <v>0.15</v>
      </c>
      <c r="H519" s="164">
        <f>SUM(H509:H517)*G519</f>
        <v>282.07818489583332</v>
      </c>
      <c r="I519" s="164">
        <f t="shared" ref="I519:K519" si="543">$H519*I$507</f>
        <v>846234.5546875</v>
      </c>
      <c r="J519" s="164">
        <f t="shared" si="543"/>
        <v>846234.5546875</v>
      </c>
      <c r="K519" s="164">
        <f t="shared" si="543"/>
        <v>846234.5546875</v>
      </c>
      <c r="L519" s="111"/>
      <c r="M519" s="111"/>
      <c r="N519" s="111"/>
      <c r="O519" s="111"/>
      <c r="P519" s="111"/>
      <c r="Q519" s="111"/>
      <c r="R519" s="111"/>
      <c r="S519" s="712"/>
      <c r="T519" s="169" t="s">
        <v>946</v>
      </c>
      <c r="U519" s="169" t="s">
        <v>946</v>
      </c>
      <c r="V519" s="121" t="s">
        <v>881</v>
      </c>
      <c r="W519" s="121" t="s">
        <v>964</v>
      </c>
      <c r="X519" s="170">
        <f>I519/4</f>
        <v>211558.638671875</v>
      </c>
      <c r="Y519" s="200">
        <f t="shared" si="526"/>
        <v>4</v>
      </c>
      <c r="Z519" s="167">
        <f t="shared" si="527"/>
        <v>846234.5546875</v>
      </c>
      <c r="AA519" s="164">
        <f>J519/4</f>
        <v>211558.638671875</v>
      </c>
      <c r="AB519" s="200">
        <f t="shared" si="529"/>
        <v>4</v>
      </c>
      <c r="AC519" s="167">
        <f t="shared" si="530"/>
        <v>846234.5546875</v>
      </c>
      <c r="AD519" s="164">
        <f t="shared" si="531"/>
        <v>211558.638671875</v>
      </c>
      <c r="AE519" s="200">
        <f t="shared" si="532"/>
        <v>4</v>
      </c>
      <c r="AF519" s="167">
        <f t="shared" si="533"/>
        <v>846234.5546875</v>
      </c>
      <c r="AG519" s="67"/>
    </row>
    <row r="520" spans="1:33">
      <c r="A520" s="134"/>
      <c r="B520" s="212" t="s">
        <v>770</v>
      </c>
      <c r="C520" s="212"/>
      <c r="D520" s="212"/>
      <c r="E520" s="212"/>
      <c r="F520" s="212"/>
      <c r="G520" s="178"/>
      <c r="H520" s="178">
        <f t="shared" ref="H520:K520" si="544">SUM(H509:H519)</f>
        <v>2350.6515407986108</v>
      </c>
      <c r="I520" s="178">
        <f t="shared" si="544"/>
        <v>7051954.622395833</v>
      </c>
      <c r="J520" s="178">
        <f t="shared" si="544"/>
        <v>7051954.622395833</v>
      </c>
      <c r="K520" s="178">
        <f t="shared" si="544"/>
        <v>7051954.622395833</v>
      </c>
      <c r="L520" s="111"/>
      <c r="M520" s="111"/>
      <c r="N520" s="111"/>
      <c r="O520" s="111"/>
      <c r="P520" s="111"/>
      <c r="Q520" s="111"/>
      <c r="R520" s="111"/>
      <c r="S520" s="712"/>
      <c r="T520" s="111"/>
      <c r="U520" s="111"/>
      <c r="V520" s="111"/>
      <c r="W520" s="111"/>
      <c r="X520" s="132"/>
      <c r="Y520" s="133"/>
      <c r="Z520" s="132"/>
      <c r="AA520" s="132"/>
      <c r="AB520" s="133"/>
      <c r="AC520" s="132"/>
      <c r="AD520" s="132"/>
      <c r="AE520" s="133"/>
      <c r="AF520" s="132"/>
      <c r="AG520" s="67"/>
    </row>
    <row r="521" spans="1:33">
      <c r="A521" s="9"/>
      <c r="B521" s="111"/>
      <c r="C521" s="111"/>
      <c r="D521" s="111"/>
      <c r="E521" s="111"/>
      <c r="F521" s="111"/>
      <c r="G521" s="111"/>
      <c r="H521" s="151"/>
      <c r="I521" s="111"/>
      <c r="J521" s="111"/>
      <c r="K521" s="111"/>
      <c r="L521" s="111"/>
      <c r="M521" s="111"/>
      <c r="N521" s="111"/>
      <c r="O521" s="111"/>
      <c r="P521" s="111"/>
      <c r="Q521" s="111"/>
      <c r="R521" s="111"/>
      <c r="S521" s="712"/>
      <c r="T521" s="111"/>
      <c r="U521" s="111"/>
      <c r="V521" s="111"/>
      <c r="W521" s="111"/>
      <c r="X521" s="111"/>
      <c r="Y521" s="111"/>
      <c r="Z521" s="111"/>
      <c r="AA521" s="111"/>
      <c r="AB521" s="111"/>
      <c r="AC521" s="111"/>
      <c r="AD521" s="111"/>
      <c r="AE521" s="111"/>
      <c r="AF521" s="111"/>
      <c r="AG521" s="67"/>
    </row>
    <row r="522" spans="1:33">
      <c r="A522" s="9"/>
      <c r="B522" s="111"/>
      <c r="C522" s="111"/>
      <c r="D522" s="111"/>
      <c r="E522" s="111"/>
      <c r="F522" s="111"/>
      <c r="G522" s="111"/>
      <c r="H522" s="151"/>
      <c r="I522" s="67"/>
      <c r="J522" s="67"/>
      <c r="K522" s="67"/>
      <c r="L522" s="111"/>
      <c r="M522" s="111"/>
      <c r="N522" s="111"/>
      <c r="O522" s="111"/>
      <c r="P522" s="111"/>
      <c r="Q522" s="111"/>
      <c r="R522" s="111"/>
      <c r="S522" s="712"/>
      <c r="T522" s="111"/>
      <c r="U522" s="111"/>
      <c r="V522" s="111"/>
      <c r="W522" s="111"/>
      <c r="X522" s="111"/>
      <c r="Y522" s="111"/>
      <c r="Z522" s="111"/>
      <c r="AA522" s="111"/>
      <c r="AB522" s="111"/>
      <c r="AC522" s="111"/>
      <c r="AD522" s="111"/>
      <c r="AE522" s="111"/>
      <c r="AF522" s="111"/>
      <c r="AG522" s="67"/>
    </row>
    <row r="523" spans="1:33">
      <c r="A523" s="9"/>
      <c r="B523" s="111"/>
      <c r="C523" s="111"/>
      <c r="D523" s="111"/>
      <c r="E523" s="111"/>
      <c r="F523" s="111"/>
      <c r="G523" s="111"/>
      <c r="H523" s="111"/>
      <c r="I523" s="67"/>
      <c r="J523" s="67"/>
      <c r="K523" s="67"/>
      <c r="L523" s="111"/>
      <c r="M523" s="111"/>
      <c r="N523" s="111"/>
      <c r="O523" s="111"/>
      <c r="P523" s="111"/>
      <c r="Q523" s="111"/>
      <c r="R523" s="111"/>
      <c r="S523" s="712"/>
      <c r="T523" s="111"/>
      <c r="U523" s="111"/>
      <c r="V523" s="111"/>
      <c r="W523" s="111"/>
      <c r="X523" s="132"/>
      <c r="Y523" s="133"/>
      <c r="Z523" s="132"/>
      <c r="AA523" s="132"/>
      <c r="AB523" s="133"/>
      <c r="AC523" s="132"/>
      <c r="AD523" s="132"/>
      <c r="AE523" s="133"/>
      <c r="AF523" s="132"/>
      <c r="AG523" s="67"/>
    </row>
    <row r="524" spans="1:33">
      <c r="A524" s="725">
        <v>28</v>
      </c>
      <c r="B524" s="726" t="e" vm="1">
        <f>'[2]AUN Budget'!$E$130</f>
        <v>#VALUE!</v>
      </c>
      <c r="C524" s="731"/>
      <c r="D524" s="731"/>
      <c r="E524" s="731"/>
      <c r="F524" s="731"/>
      <c r="G524" s="731"/>
      <c r="H524" s="731"/>
      <c r="I524" s="216">
        <v>2596</v>
      </c>
      <c r="J524" s="216">
        <v>2596</v>
      </c>
      <c r="K524" s="216">
        <v>2596</v>
      </c>
      <c r="L524" s="111"/>
      <c r="M524" s="111"/>
      <c r="N524" s="111"/>
      <c r="O524" s="111"/>
      <c r="P524" s="111"/>
      <c r="Q524" s="111"/>
      <c r="R524" s="111"/>
      <c r="S524" s="712"/>
      <c r="T524" s="111"/>
      <c r="U524" s="111"/>
      <c r="V524" s="111"/>
      <c r="W524" s="111"/>
      <c r="X524" s="132"/>
      <c r="Y524" s="133"/>
      <c r="Z524" s="132"/>
      <c r="AA524" s="132"/>
      <c r="AB524" s="133"/>
      <c r="AC524" s="132"/>
      <c r="AD524" s="132"/>
      <c r="AE524" s="133"/>
      <c r="AF524" s="132"/>
      <c r="AG524" s="67"/>
    </row>
    <row r="525" spans="1:33">
      <c r="A525" s="157" t="s">
        <v>32</v>
      </c>
      <c r="B525" s="113" t="s">
        <v>755</v>
      </c>
      <c r="C525" s="113" t="s">
        <v>966</v>
      </c>
      <c r="D525" s="113" t="s">
        <v>967</v>
      </c>
      <c r="E525" s="113" t="s">
        <v>968</v>
      </c>
      <c r="F525" s="113" t="s">
        <v>969</v>
      </c>
      <c r="G525" s="113" t="s">
        <v>970</v>
      </c>
      <c r="H525" s="113" t="s">
        <v>971</v>
      </c>
      <c r="I525" s="113" t="s">
        <v>972</v>
      </c>
      <c r="J525" s="113" t="s">
        <v>973</v>
      </c>
      <c r="K525" s="113" t="s">
        <v>974</v>
      </c>
      <c r="L525" s="111"/>
      <c r="M525" s="111"/>
      <c r="N525" s="111"/>
      <c r="O525" s="111"/>
      <c r="P525" s="111"/>
      <c r="Q525" s="111"/>
      <c r="R525" s="111"/>
      <c r="S525" s="712"/>
      <c r="T525" s="159" t="s">
        <v>387</v>
      </c>
      <c r="U525" s="159" t="s">
        <v>388</v>
      </c>
      <c r="V525" s="159" t="s">
        <v>934</v>
      </c>
      <c r="W525" s="160" t="s">
        <v>935</v>
      </c>
      <c r="X525" s="161" t="s">
        <v>936</v>
      </c>
      <c r="Y525" s="162" t="s">
        <v>937</v>
      </c>
      <c r="Z525" s="161" t="s">
        <v>938</v>
      </c>
      <c r="AA525" s="161" t="s">
        <v>939</v>
      </c>
      <c r="AB525" s="162" t="s">
        <v>940</v>
      </c>
      <c r="AC525" s="161" t="s">
        <v>941</v>
      </c>
      <c r="AD525" s="161" t="s">
        <v>942</v>
      </c>
      <c r="AE525" s="162" t="s">
        <v>943</v>
      </c>
      <c r="AF525" s="161" t="s">
        <v>944</v>
      </c>
      <c r="AG525" s="67"/>
    </row>
    <row r="526" spans="1:33">
      <c r="A526" s="134"/>
      <c r="B526" s="153">
        <v>1</v>
      </c>
      <c r="C526" s="121" t="s">
        <v>978</v>
      </c>
      <c r="D526" s="121" t="s">
        <v>1229</v>
      </c>
      <c r="E526" s="209">
        <v>0.9</v>
      </c>
      <c r="F526" s="164">
        <v>3</v>
      </c>
      <c r="G526" s="164">
        <f>'Assumptions HR_AUN'!$F$8</f>
        <v>80.053187003968247</v>
      </c>
      <c r="H526" s="164">
        <f>E526*F526*G526</f>
        <v>216.14360491071429</v>
      </c>
      <c r="I526" s="164">
        <f t="shared" ref="I526:K526" si="545">$H526*I$524</f>
        <v>561108.79834821424</v>
      </c>
      <c r="J526" s="164">
        <f t="shared" si="545"/>
        <v>561108.79834821424</v>
      </c>
      <c r="K526" s="164">
        <f t="shared" si="545"/>
        <v>561108.79834821424</v>
      </c>
      <c r="L526" s="111"/>
      <c r="M526" s="111"/>
      <c r="N526" s="111"/>
      <c r="O526" s="111"/>
      <c r="P526" s="111"/>
      <c r="Q526" s="111"/>
      <c r="R526" s="111"/>
      <c r="S526" s="712"/>
      <c r="T526" s="169" t="s">
        <v>946</v>
      </c>
      <c r="U526" s="169" t="s">
        <v>946</v>
      </c>
      <c r="V526" s="121" t="s">
        <v>977</v>
      </c>
      <c r="W526" s="121" t="s">
        <v>961</v>
      </c>
      <c r="X526" s="170">
        <f>G526*$D$35*$D$36</f>
        <v>40346.806249999994</v>
      </c>
      <c r="Y526" s="200">
        <f t="shared" ref="Y526:Y534" si="546">I526/X526</f>
        <v>13.907142857142858</v>
      </c>
      <c r="Z526" s="167">
        <f t="shared" ref="Z526:Z534" si="547">X526*Y526</f>
        <v>561108.79834821424</v>
      </c>
      <c r="AA526" s="164">
        <f t="shared" ref="AA526:AA534" si="548">X526</f>
        <v>40346.806249999994</v>
      </c>
      <c r="AB526" s="200">
        <f t="shared" ref="AB526:AB534" si="549">J526/AA526</f>
        <v>13.907142857142858</v>
      </c>
      <c r="AC526" s="167">
        <f t="shared" ref="AC526:AC534" si="550">AA526*AB526</f>
        <v>561108.79834821424</v>
      </c>
      <c r="AD526" s="164">
        <f t="shared" ref="AD526:AD534" si="551">AA526</f>
        <v>40346.806249999994</v>
      </c>
      <c r="AE526" s="200">
        <f t="shared" ref="AE526:AE534" si="552">K526/AD526</f>
        <v>13.907142857142858</v>
      </c>
      <c r="AF526" s="167">
        <f t="shared" ref="AF526:AF534" si="553">AD526*AE526</f>
        <v>561108.79834821424</v>
      </c>
      <c r="AG526" s="67"/>
    </row>
    <row r="527" spans="1:33">
      <c r="A527" s="134"/>
      <c r="B527" s="153">
        <v>2</v>
      </c>
      <c r="C527" s="121" t="s">
        <v>985</v>
      </c>
      <c r="D527" s="121" t="s">
        <v>1230</v>
      </c>
      <c r="E527" s="209"/>
      <c r="F527" s="164">
        <f>6*0.85</f>
        <v>5.0999999999999996</v>
      </c>
      <c r="G527" s="164">
        <f>$D$32</f>
        <v>60</v>
      </c>
      <c r="H527" s="164">
        <f>F527*G527</f>
        <v>306</v>
      </c>
      <c r="I527" s="164">
        <f t="shared" ref="I527:K527" si="554">$H527*I$524</f>
        <v>794376</v>
      </c>
      <c r="J527" s="164">
        <f t="shared" si="554"/>
        <v>794376</v>
      </c>
      <c r="K527" s="164">
        <f t="shared" si="554"/>
        <v>794376</v>
      </c>
      <c r="L527" s="111"/>
      <c r="M527" s="111"/>
      <c r="N527" s="111"/>
      <c r="O527" s="111"/>
      <c r="P527" s="111"/>
      <c r="Q527" s="111"/>
      <c r="R527" s="111"/>
      <c r="S527" s="712"/>
      <c r="T527" s="169" t="s">
        <v>946</v>
      </c>
      <c r="U527" s="169" t="s">
        <v>946</v>
      </c>
      <c r="V527" s="121" t="s">
        <v>957</v>
      </c>
      <c r="W527" s="121" t="s">
        <v>789</v>
      </c>
      <c r="X527" s="170">
        <f t="shared" ref="X527:X528" si="555">G527</f>
        <v>60</v>
      </c>
      <c r="Y527" s="200">
        <f t="shared" si="546"/>
        <v>13239.6</v>
      </c>
      <c r="Z527" s="167">
        <f t="shared" si="547"/>
        <v>794376</v>
      </c>
      <c r="AA527" s="164">
        <f t="shared" si="548"/>
        <v>60</v>
      </c>
      <c r="AB527" s="200">
        <f t="shared" si="549"/>
        <v>13239.6</v>
      </c>
      <c r="AC527" s="167">
        <f t="shared" si="550"/>
        <v>794376</v>
      </c>
      <c r="AD527" s="164">
        <f t="shared" si="551"/>
        <v>60</v>
      </c>
      <c r="AE527" s="200">
        <f t="shared" si="552"/>
        <v>13239.6</v>
      </c>
      <c r="AF527" s="167">
        <f t="shared" si="553"/>
        <v>794376</v>
      </c>
      <c r="AG527" s="67"/>
    </row>
    <row r="528" spans="1:33">
      <c r="A528" s="134"/>
      <c r="B528" s="153">
        <v>3</v>
      </c>
      <c r="C528" s="121" t="s">
        <v>992</v>
      </c>
      <c r="D528" s="121" t="s">
        <v>1231</v>
      </c>
      <c r="E528" s="209"/>
      <c r="F528" s="164">
        <v>0.25</v>
      </c>
      <c r="G528" s="164">
        <f>$D$23</f>
        <v>1025</v>
      </c>
      <c r="H528" s="164">
        <f>G528*F528</f>
        <v>256.25</v>
      </c>
      <c r="I528" s="164">
        <f t="shared" ref="I528:K528" si="556">$H528*I$524</f>
        <v>665225</v>
      </c>
      <c r="J528" s="164">
        <f t="shared" si="556"/>
        <v>665225</v>
      </c>
      <c r="K528" s="164">
        <f t="shared" si="556"/>
        <v>665225</v>
      </c>
      <c r="L528" s="111"/>
      <c r="M528" s="111"/>
      <c r="N528" s="111"/>
      <c r="O528" s="111"/>
      <c r="P528" s="111"/>
      <c r="Q528" s="111"/>
      <c r="R528" s="111"/>
      <c r="S528" s="712"/>
      <c r="T528" s="169" t="s">
        <v>946</v>
      </c>
      <c r="U528" s="169" t="s">
        <v>946</v>
      </c>
      <c r="V528" s="121" t="s">
        <v>994</v>
      </c>
      <c r="W528" s="121" t="s">
        <v>789</v>
      </c>
      <c r="X528" s="170">
        <f t="shared" si="555"/>
        <v>1025</v>
      </c>
      <c r="Y528" s="200">
        <f t="shared" si="546"/>
        <v>649</v>
      </c>
      <c r="Z528" s="167">
        <f t="shared" si="547"/>
        <v>665225</v>
      </c>
      <c r="AA528" s="164">
        <f t="shared" si="548"/>
        <v>1025</v>
      </c>
      <c r="AB528" s="200">
        <f t="shared" si="549"/>
        <v>649</v>
      </c>
      <c r="AC528" s="167">
        <f t="shared" si="550"/>
        <v>665225</v>
      </c>
      <c r="AD528" s="164">
        <f t="shared" si="551"/>
        <v>1025</v>
      </c>
      <c r="AE528" s="200">
        <f t="shared" si="552"/>
        <v>649</v>
      </c>
      <c r="AF528" s="167">
        <f t="shared" si="553"/>
        <v>665225</v>
      </c>
      <c r="AG528" s="67"/>
    </row>
    <row r="529" spans="1:33">
      <c r="A529" s="134"/>
      <c r="B529" s="153">
        <v>4</v>
      </c>
      <c r="C529" s="121" t="s">
        <v>1052</v>
      </c>
      <c r="D529" s="121" t="s">
        <v>1232</v>
      </c>
      <c r="E529" s="209">
        <v>2.5</v>
      </c>
      <c r="F529" s="164">
        <v>0.8</v>
      </c>
      <c r="G529" s="164">
        <f>'Assumptions HR_AUN'!$F$8</f>
        <v>80.053187003968247</v>
      </c>
      <c r="H529" s="164">
        <f>E529*F529*G529</f>
        <v>160.10637400793649</v>
      </c>
      <c r="I529" s="164">
        <f t="shared" ref="I529:K529" si="557">$H529*I$524</f>
        <v>415636.14692460315</v>
      </c>
      <c r="J529" s="164">
        <f t="shared" si="557"/>
        <v>415636.14692460315</v>
      </c>
      <c r="K529" s="164">
        <f t="shared" si="557"/>
        <v>415636.14692460315</v>
      </c>
      <c r="L529" s="111"/>
      <c r="M529" s="111"/>
      <c r="N529" s="111"/>
      <c r="O529" s="111"/>
      <c r="P529" s="111"/>
      <c r="Q529" s="111"/>
      <c r="R529" s="111"/>
      <c r="S529" s="712"/>
      <c r="T529" s="169" t="s">
        <v>946</v>
      </c>
      <c r="U529" s="169" t="s">
        <v>946</v>
      </c>
      <c r="V529" s="121" t="s">
        <v>991</v>
      </c>
      <c r="W529" s="121" t="s">
        <v>961</v>
      </c>
      <c r="X529" s="170">
        <f>G529*$D$35*$D$36</f>
        <v>40346.806249999994</v>
      </c>
      <c r="Y529" s="200">
        <f t="shared" si="546"/>
        <v>10.301587301587302</v>
      </c>
      <c r="Z529" s="167">
        <f t="shared" si="547"/>
        <v>415636.14692460315</v>
      </c>
      <c r="AA529" s="164">
        <f t="shared" si="548"/>
        <v>40346.806249999994</v>
      </c>
      <c r="AB529" s="200">
        <f t="shared" si="549"/>
        <v>10.301587301587302</v>
      </c>
      <c r="AC529" s="167">
        <f t="shared" si="550"/>
        <v>415636.14692460315</v>
      </c>
      <c r="AD529" s="164">
        <f t="shared" si="551"/>
        <v>40346.806249999994</v>
      </c>
      <c r="AE529" s="200">
        <f t="shared" si="552"/>
        <v>10.301587301587302</v>
      </c>
      <c r="AF529" s="167">
        <f t="shared" si="553"/>
        <v>415636.14692460315</v>
      </c>
      <c r="AG529" s="67"/>
    </row>
    <row r="530" spans="1:33">
      <c r="A530" s="134"/>
      <c r="B530" s="153">
        <v>5</v>
      </c>
      <c r="C530" s="121" t="s">
        <v>987</v>
      </c>
      <c r="D530" s="121" t="s">
        <v>1233</v>
      </c>
      <c r="E530" s="209"/>
      <c r="F530" s="164">
        <v>1</v>
      </c>
      <c r="G530" s="164">
        <f>$D$27</f>
        <v>300</v>
      </c>
      <c r="H530" s="164">
        <f>F530*G530</f>
        <v>300</v>
      </c>
      <c r="I530" s="164">
        <f t="shared" ref="I530:K530" si="558">$H530*I$524</f>
        <v>778800</v>
      </c>
      <c r="J530" s="164">
        <f t="shared" si="558"/>
        <v>778800</v>
      </c>
      <c r="K530" s="164">
        <f t="shared" si="558"/>
        <v>778800</v>
      </c>
      <c r="L530" s="111"/>
      <c r="M530" s="111"/>
      <c r="N530" s="111"/>
      <c r="O530" s="111"/>
      <c r="P530" s="111"/>
      <c r="Q530" s="111"/>
      <c r="R530" s="111"/>
      <c r="S530" s="712"/>
      <c r="T530" s="169" t="s">
        <v>946</v>
      </c>
      <c r="U530" s="169" t="s">
        <v>946</v>
      </c>
      <c r="V530" s="121" t="s">
        <v>989</v>
      </c>
      <c r="W530" s="121" t="s">
        <v>789</v>
      </c>
      <c r="X530" s="170">
        <f>G530</f>
        <v>300</v>
      </c>
      <c r="Y530" s="200">
        <f t="shared" si="546"/>
        <v>2596</v>
      </c>
      <c r="Z530" s="167">
        <f t="shared" si="547"/>
        <v>778800</v>
      </c>
      <c r="AA530" s="164">
        <f t="shared" si="548"/>
        <v>300</v>
      </c>
      <c r="AB530" s="200">
        <f t="shared" si="549"/>
        <v>2596</v>
      </c>
      <c r="AC530" s="167">
        <f t="shared" si="550"/>
        <v>778800</v>
      </c>
      <c r="AD530" s="164">
        <f t="shared" si="551"/>
        <v>300</v>
      </c>
      <c r="AE530" s="200">
        <f t="shared" si="552"/>
        <v>2596</v>
      </c>
      <c r="AF530" s="167">
        <f t="shared" si="553"/>
        <v>778800</v>
      </c>
      <c r="AG530" s="67"/>
    </row>
    <row r="531" spans="1:33">
      <c r="A531" s="134"/>
      <c r="B531" s="153">
        <v>6</v>
      </c>
      <c r="C531" s="121" t="s">
        <v>978</v>
      </c>
      <c r="D531" s="121" t="s">
        <v>1234</v>
      </c>
      <c r="E531" s="209">
        <v>0.8</v>
      </c>
      <c r="F531" s="164">
        <v>6</v>
      </c>
      <c r="G531" s="164">
        <f>'Assumptions HR_AUN'!$F$8</f>
        <v>80.053187003968247</v>
      </c>
      <c r="H531" s="164">
        <f t="shared" ref="H531:H532" si="559">E531*F531*G531</f>
        <v>384.25529761904767</v>
      </c>
      <c r="I531" s="164">
        <f t="shared" ref="I531:K531" si="560">$H531*I$524</f>
        <v>997526.75261904777</v>
      </c>
      <c r="J531" s="164">
        <f t="shared" si="560"/>
        <v>997526.75261904777</v>
      </c>
      <c r="K531" s="164">
        <f t="shared" si="560"/>
        <v>997526.75261904777</v>
      </c>
      <c r="L531" s="111"/>
      <c r="M531" s="111"/>
      <c r="N531" s="111"/>
      <c r="O531" s="111"/>
      <c r="P531" s="111"/>
      <c r="Q531" s="111"/>
      <c r="R531" s="111"/>
      <c r="S531" s="712"/>
      <c r="T531" s="169" t="s">
        <v>946</v>
      </c>
      <c r="U531" s="169" t="s">
        <v>946</v>
      </c>
      <c r="V531" s="121" t="s">
        <v>977</v>
      </c>
      <c r="W531" s="121" t="s">
        <v>961</v>
      </c>
      <c r="X531" s="170">
        <f>G531*$D$35*$D$36</f>
        <v>40346.806249999994</v>
      </c>
      <c r="Y531" s="200">
        <f t="shared" si="546"/>
        <v>24.723809523809532</v>
      </c>
      <c r="Z531" s="167">
        <f t="shared" si="547"/>
        <v>997526.75261904777</v>
      </c>
      <c r="AA531" s="164">
        <f t="shared" si="548"/>
        <v>40346.806249999994</v>
      </c>
      <c r="AB531" s="200">
        <f t="shared" si="549"/>
        <v>24.723809523809532</v>
      </c>
      <c r="AC531" s="167">
        <f t="shared" si="550"/>
        <v>997526.75261904777</v>
      </c>
      <c r="AD531" s="164">
        <f t="shared" si="551"/>
        <v>40346.806249999994</v>
      </c>
      <c r="AE531" s="200">
        <f t="shared" si="552"/>
        <v>24.723809523809532</v>
      </c>
      <c r="AF531" s="167">
        <f t="shared" si="553"/>
        <v>997526.75261904777</v>
      </c>
      <c r="AG531" s="67"/>
    </row>
    <row r="532" spans="1:33">
      <c r="A532" s="134"/>
      <c r="B532" s="153">
        <v>7</v>
      </c>
      <c r="C532" s="121" t="s">
        <v>1052</v>
      </c>
      <c r="D532" s="121" t="s">
        <v>1235</v>
      </c>
      <c r="E532" s="209">
        <v>2.5</v>
      </c>
      <c r="F532" s="164">
        <v>0.6</v>
      </c>
      <c r="G532" s="164">
        <f>'Assumptions HR_AUN'!$F$8</f>
        <v>80.053187003968247</v>
      </c>
      <c r="H532" s="164">
        <f t="shared" si="559"/>
        <v>120.07978050595237</v>
      </c>
      <c r="I532" s="164">
        <f t="shared" ref="I532:K532" si="561">$H532*I$524</f>
        <v>311727.11019345233</v>
      </c>
      <c r="J532" s="164">
        <f t="shared" si="561"/>
        <v>311727.11019345233</v>
      </c>
      <c r="K532" s="164">
        <f t="shared" si="561"/>
        <v>311727.11019345233</v>
      </c>
      <c r="L532" s="111"/>
      <c r="M532" s="111"/>
      <c r="N532" s="111"/>
      <c r="O532" s="111"/>
      <c r="P532" s="111"/>
      <c r="Q532" s="111"/>
      <c r="R532" s="111"/>
      <c r="S532" s="712"/>
      <c r="T532" s="169" t="s">
        <v>946</v>
      </c>
      <c r="U532" s="169" t="s">
        <v>946</v>
      </c>
      <c r="V532" s="121" t="s">
        <v>991</v>
      </c>
      <c r="W532" s="121" t="s">
        <v>961</v>
      </c>
      <c r="X532" s="170">
        <f>'Assumptions HR_AUN'!$F$8*'Assumptions Other_AUN'!$D$35*'Assumptions Other_AUN'!$D$36</f>
        <v>40346.806249999994</v>
      </c>
      <c r="Y532" s="200">
        <f t="shared" si="546"/>
        <v>7.7261904761904763</v>
      </c>
      <c r="Z532" s="167">
        <f t="shared" si="547"/>
        <v>311727.11019345233</v>
      </c>
      <c r="AA532" s="164">
        <f t="shared" si="548"/>
        <v>40346.806249999994</v>
      </c>
      <c r="AB532" s="200">
        <f t="shared" si="549"/>
        <v>7.7261904761904763</v>
      </c>
      <c r="AC532" s="167">
        <f t="shared" si="550"/>
        <v>311727.11019345233</v>
      </c>
      <c r="AD532" s="164">
        <f t="shared" si="551"/>
        <v>40346.806249999994</v>
      </c>
      <c r="AE532" s="200">
        <f t="shared" si="552"/>
        <v>7.7261904761904763</v>
      </c>
      <c r="AF532" s="167">
        <f t="shared" si="553"/>
        <v>311727.11019345233</v>
      </c>
      <c r="AG532" s="67"/>
    </row>
    <row r="533" spans="1:33">
      <c r="A533" s="134"/>
      <c r="B533" s="153">
        <v>8</v>
      </c>
      <c r="C533" s="121" t="s">
        <v>1001</v>
      </c>
      <c r="D533" s="121"/>
      <c r="E533" s="209"/>
      <c r="F533" s="164"/>
      <c r="G533" s="185">
        <f>$C$13</f>
        <v>0.1</v>
      </c>
      <c r="H533" s="164">
        <f>SUM(H526:H532)*G533</f>
        <v>174.2835057043651</v>
      </c>
      <c r="I533" s="164">
        <f t="shared" ref="I533:K533" si="562">$H533*I$524</f>
        <v>452439.98080853181</v>
      </c>
      <c r="J533" s="164">
        <f t="shared" si="562"/>
        <v>452439.98080853181</v>
      </c>
      <c r="K533" s="164">
        <f t="shared" si="562"/>
        <v>452439.98080853181</v>
      </c>
      <c r="L533" s="111"/>
      <c r="M533" s="111"/>
      <c r="N533" s="111"/>
      <c r="O533" s="111"/>
      <c r="P533" s="111"/>
      <c r="Q533" s="111"/>
      <c r="R533" s="111"/>
      <c r="S533" s="712"/>
      <c r="T533" s="169" t="s">
        <v>946</v>
      </c>
      <c r="U533" s="169" t="s">
        <v>946</v>
      </c>
      <c r="V533" s="121" t="s">
        <v>875</v>
      </c>
      <c r="W533" s="121" t="s">
        <v>961</v>
      </c>
      <c r="X533" s="170">
        <f>'Assumptions HR_AUN'!$D$4*3</f>
        <v>88211.039066799218</v>
      </c>
      <c r="Y533" s="200">
        <f t="shared" si="546"/>
        <v>5.12906304692675</v>
      </c>
      <c r="Z533" s="167">
        <f t="shared" si="547"/>
        <v>452439.98080853175</v>
      </c>
      <c r="AA533" s="164">
        <f t="shared" si="548"/>
        <v>88211.039066799218</v>
      </c>
      <c r="AB533" s="200">
        <f t="shared" si="549"/>
        <v>5.12906304692675</v>
      </c>
      <c r="AC533" s="167">
        <f t="shared" si="550"/>
        <v>452439.98080853175</v>
      </c>
      <c r="AD533" s="164">
        <f t="shared" si="551"/>
        <v>88211.039066799218</v>
      </c>
      <c r="AE533" s="200">
        <f t="shared" si="552"/>
        <v>5.12906304692675</v>
      </c>
      <c r="AF533" s="167">
        <f t="shared" si="553"/>
        <v>452439.98080853175</v>
      </c>
      <c r="AG533" s="67"/>
    </row>
    <row r="534" spans="1:33">
      <c r="A534" s="134"/>
      <c r="B534" s="153">
        <v>9</v>
      </c>
      <c r="C534" s="121" t="s">
        <v>962</v>
      </c>
      <c r="D534" s="121"/>
      <c r="E534" s="209"/>
      <c r="F534" s="121"/>
      <c r="G534" s="185">
        <f>$C$14</f>
        <v>0.15</v>
      </c>
      <c r="H534" s="164">
        <f>SUM(H526:H532)*G534</f>
        <v>261.42525855654765</v>
      </c>
      <c r="I534" s="164">
        <f t="shared" ref="I534:K534" si="563">$H534*I$524</f>
        <v>678659.97121279768</v>
      </c>
      <c r="J534" s="164">
        <f t="shared" si="563"/>
        <v>678659.97121279768</v>
      </c>
      <c r="K534" s="164">
        <f t="shared" si="563"/>
        <v>678659.97121279768</v>
      </c>
      <c r="L534" s="111"/>
      <c r="M534" s="111"/>
      <c r="N534" s="111"/>
      <c r="O534" s="111"/>
      <c r="P534" s="111"/>
      <c r="Q534" s="111"/>
      <c r="R534" s="111"/>
      <c r="S534" s="712"/>
      <c r="T534" s="169" t="s">
        <v>946</v>
      </c>
      <c r="U534" s="169" t="s">
        <v>946</v>
      </c>
      <c r="V534" s="121" t="s">
        <v>881</v>
      </c>
      <c r="W534" s="121" t="s">
        <v>964</v>
      </c>
      <c r="X534" s="170">
        <f>I534/4</f>
        <v>169664.99280319942</v>
      </c>
      <c r="Y534" s="200">
        <f t="shared" si="546"/>
        <v>4</v>
      </c>
      <c r="Z534" s="167">
        <f t="shared" si="547"/>
        <v>678659.97121279768</v>
      </c>
      <c r="AA534" s="164">
        <f t="shared" si="548"/>
        <v>169664.99280319942</v>
      </c>
      <c r="AB534" s="200">
        <f t="shared" si="549"/>
        <v>4</v>
      </c>
      <c r="AC534" s="167">
        <f t="shared" si="550"/>
        <v>678659.97121279768</v>
      </c>
      <c r="AD534" s="164">
        <f t="shared" si="551"/>
        <v>169664.99280319942</v>
      </c>
      <c r="AE534" s="200">
        <f t="shared" si="552"/>
        <v>4</v>
      </c>
      <c r="AF534" s="167">
        <f t="shared" si="553"/>
        <v>678659.97121279768</v>
      </c>
      <c r="AG534" s="67"/>
    </row>
    <row r="535" spans="1:33">
      <c r="A535" s="134"/>
      <c r="B535" s="212" t="s">
        <v>770</v>
      </c>
      <c r="C535" s="212"/>
      <c r="D535" s="212"/>
      <c r="E535" s="212"/>
      <c r="F535" s="212"/>
      <c r="G535" s="178"/>
      <c r="H535" s="178">
        <f t="shared" ref="H535:K535" si="564">SUM(H526:H534)</f>
        <v>2178.5438213045636</v>
      </c>
      <c r="I535" s="178">
        <f t="shared" si="564"/>
        <v>5655499.7601066465</v>
      </c>
      <c r="J535" s="178">
        <f t="shared" si="564"/>
        <v>5655499.7601066465</v>
      </c>
      <c r="K535" s="178">
        <f t="shared" si="564"/>
        <v>5655499.7601066465</v>
      </c>
      <c r="L535" s="111"/>
      <c r="M535" s="111"/>
      <c r="N535" s="111"/>
      <c r="O535" s="111"/>
      <c r="P535" s="111"/>
      <c r="Q535" s="111"/>
      <c r="R535" s="111"/>
      <c r="S535" s="712"/>
      <c r="T535" s="111"/>
      <c r="U535" s="111"/>
      <c r="V535" s="111"/>
      <c r="W535" s="111"/>
      <c r="X535" s="132"/>
      <c r="Y535" s="133"/>
      <c r="Z535" s="132"/>
      <c r="AA535" s="132"/>
      <c r="AB535" s="133"/>
      <c r="AC535" s="132"/>
      <c r="AD535" s="132"/>
      <c r="AE535" s="133"/>
      <c r="AF535" s="132"/>
      <c r="AG535" s="67"/>
    </row>
    <row r="536" spans="1:33">
      <c r="A536" s="9"/>
      <c r="B536" s="111"/>
      <c r="C536" s="111"/>
      <c r="D536" s="111"/>
      <c r="E536" s="111"/>
      <c r="F536" s="111"/>
      <c r="G536" s="111"/>
      <c r="H536" s="151"/>
      <c r="I536" s="111"/>
      <c r="J536" s="111"/>
      <c r="K536" s="111"/>
      <c r="L536" s="111"/>
      <c r="M536" s="111"/>
      <c r="N536" s="111"/>
      <c r="O536" s="111"/>
      <c r="P536" s="111"/>
      <c r="Q536" s="111"/>
      <c r="R536" s="111"/>
      <c r="S536" s="712"/>
      <c r="T536" s="111"/>
      <c r="U536" s="111"/>
      <c r="V536" s="111"/>
      <c r="W536" s="111"/>
      <c r="X536" s="111"/>
      <c r="Y536" s="111"/>
      <c r="Z536" s="111"/>
      <c r="AA536" s="111"/>
      <c r="AB536" s="111"/>
      <c r="AC536" s="111"/>
      <c r="AD536" s="111"/>
      <c r="AE536" s="111"/>
      <c r="AF536" s="111"/>
      <c r="AG536" s="67"/>
    </row>
    <row r="537" spans="1:33">
      <c r="A537" s="9"/>
      <c r="B537" s="111"/>
      <c r="C537" s="111"/>
      <c r="D537" s="111"/>
      <c r="E537" s="111"/>
      <c r="F537" s="111"/>
      <c r="G537" s="111"/>
      <c r="H537" s="111"/>
      <c r="I537" s="111"/>
      <c r="J537" s="111"/>
      <c r="K537" s="111"/>
      <c r="L537" s="111"/>
      <c r="M537" s="111"/>
      <c r="N537" s="111"/>
      <c r="O537" s="111"/>
      <c r="P537" s="111"/>
      <c r="Q537" s="111"/>
      <c r="R537" s="111"/>
      <c r="S537" s="712"/>
      <c r="T537" s="111"/>
      <c r="U537" s="111"/>
      <c r="V537" s="111"/>
      <c r="W537" s="111"/>
      <c r="X537" s="111"/>
      <c r="Y537" s="111"/>
      <c r="Z537" s="111"/>
      <c r="AA537" s="111"/>
      <c r="AB537" s="111"/>
      <c r="AC537" s="111"/>
      <c r="AD537" s="111"/>
      <c r="AE537" s="111"/>
      <c r="AF537" s="111"/>
      <c r="AG537" s="67"/>
    </row>
    <row r="538" spans="1:33">
      <c r="A538" s="725">
        <v>29</v>
      </c>
      <c r="B538" s="726" t="e" vm="1">
        <f>'[2]AUN Budget'!E141</f>
        <v>#VALUE!</v>
      </c>
      <c r="C538" s="731"/>
      <c r="D538" s="731"/>
      <c r="E538" s="731"/>
      <c r="F538" s="731"/>
      <c r="G538" s="731"/>
      <c r="H538" s="731"/>
      <c r="I538" s="216">
        <v>700</v>
      </c>
      <c r="J538" s="216">
        <v>700</v>
      </c>
      <c r="K538" s="216">
        <v>700</v>
      </c>
      <c r="L538" s="111"/>
      <c r="M538" s="111"/>
      <c r="N538" s="111"/>
      <c r="O538" s="111"/>
      <c r="P538" s="111"/>
      <c r="Q538" s="111"/>
      <c r="R538" s="111"/>
      <c r="S538" s="712"/>
      <c r="T538" s="111"/>
      <c r="U538" s="111"/>
      <c r="V538" s="111"/>
      <c r="W538" s="111"/>
      <c r="X538" s="132"/>
      <c r="Y538" s="133"/>
      <c r="Z538" s="132"/>
      <c r="AA538" s="132"/>
      <c r="AB538" s="133"/>
      <c r="AC538" s="132"/>
      <c r="AD538" s="132"/>
      <c r="AE538" s="133"/>
      <c r="AF538" s="132"/>
      <c r="AG538" s="67"/>
    </row>
    <row r="539" spans="1:33">
      <c r="A539" s="157" t="s">
        <v>119</v>
      </c>
      <c r="B539" s="113" t="s">
        <v>755</v>
      </c>
      <c r="C539" s="113" t="s">
        <v>966</v>
      </c>
      <c r="D539" s="113" t="s">
        <v>967</v>
      </c>
      <c r="E539" s="113" t="s">
        <v>968</v>
      </c>
      <c r="F539" s="113" t="s">
        <v>969</v>
      </c>
      <c r="G539" s="113" t="s">
        <v>970</v>
      </c>
      <c r="H539" s="113" t="s">
        <v>971</v>
      </c>
      <c r="I539" s="113" t="s">
        <v>972</v>
      </c>
      <c r="J539" s="113" t="s">
        <v>973</v>
      </c>
      <c r="K539" s="113" t="s">
        <v>974</v>
      </c>
      <c r="L539" s="111"/>
      <c r="M539" s="111"/>
      <c r="N539" s="111"/>
      <c r="O539" s="182"/>
      <c r="P539" s="182"/>
      <c r="Q539" s="182"/>
      <c r="R539" s="182"/>
      <c r="S539" s="727"/>
      <c r="T539" s="159" t="s">
        <v>387</v>
      </c>
      <c r="U539" s="159" t="s">
        <v>388</v>
      </c>
      <c r="V539" s="159" t="s">
        <v>934</v>
      </c>
      <c r="W539" s="160" t="s">
        <v>935</v>
      </c>
      <c r="X539" s="161" t="s">
        <v>936</v>
      </c>
      <c r="Y539" s="162" t="s">
        <v>937</v>
      </c>
      <c r="Z539" s="161" t="s">
        <v>938</v>
      </c>
      <c r="AA539" s="161" t="s">
        <v>939</v>
      </c>
      <c r="AB539" s="162" t="s">
        <v>940</v>
      </c>
      <c r="AC539" s="161" t="s">
        <v>941</v>
      </c>
      <c r="AD539" s="161" t="s">
        <v>942</v>
      </c>
      <c r="AE539" s="162" t="s">
        <v>943</v>
      </c>
      <c r="AF539" s="161" t="s">
        <v>944</v>
      </c>
      <c r="AG539" s="67"/>
    </row>
    <row r="540" spans="1:33">
      <c r="A540" s="134"/>
      <c r="B540" s="153">
        <v>1</v>
      </c>
      <c r="C540" s="121" t="s">
        <v>978</v>
      </c>
      <c r="D540" s="121" t="s">
        <v>1236</v>
      </c>
      <c r="E540" s="209">
        <v>1</v>
      </c>
      <c r="F540" s="164">
        <v>6</v>
      </c>
      <c r="G540" s="164">
        <f>'Assumptions HR_AUN'!$F$4</f>
        <v>175.0219029103159</v>
      </c>
      <c r="H540" s="164">
        <f t="shared" ref="H540:H543" si="565">E540*F540*G540</f>
        <v>1050.1314174618954</v>
      </c>
      <c r="I540" s="164">
        <f t="shared" ref="I540:K540" si="566">$H540*I$538</f>
        <v>735091.9922233267</v>
      </c>
      <c r="J540" s="164">
        <f t="shared" si="566"/>
        <v>735091.9922233267</v>
      </c>
      <c r="K540" s="164">
        <f t="shared" si="566"/>
        <v>735091.9922233267</v>
      </c>
      <c r="L540" s="111"/>
      <c r="M540" s="111"/>
      <c r="N540" s="111"/>
      <c r="O540" s="111"/>
      <c r="P540" s="111"/>
      <c r="Q540" s="111"/>
      <c r="R540" s="111"/>
      <c r="S540" s="712"/>
      <c r="T540" s="169" t="s">
        <v>946</v>
      </c>
      <c r="U540" s="169" t="s">
        <v>946</v>
      </c>
      <c r="V540" s="121" t="s">
        <v>977</v>
      </c>
      <c r="W540" s="121" t="s">
        <v>961</v>
      </c>
      <c r="X540" s="170">
        <f t="shared" ref="X540:X541" si="567">$G$541*$D$35*$D$36</f>
        <v>40346.806249999994</v>
      </c>
      <c r="Y540" s="200">
        <f t="shared" ref="Y540:Y550" si="568">I540/X540</f>
        <v>18.219335321573979</v>
      </c>
      <c r="Z540" s="167">
        <f t="shared" ref="Z540:Z550" si="569">X540*Y540</f>
        <v>735091.9922233267</v>
      </c>
      <c r="AA540" s="164">
        <f t="shared" ref="AA540:AA550" si="570">X540</f>
        <v>40346.806249999994</v>
      </c>
      <c r="AB540" s="200">
        <f t="shared" ref="AB540:AB550" si="571">J540/AA540</f>
        <v>18.219335321573979</v>
      </c>
      <c r="AC540" s="167">
        <f t="shared" ref="AC540:AC550" si="572">AA540*AB540</f>
        <v>735091.9922233267</v>
      </c>
      <c r="AD540" s="164">
        <f t="shared" ref="AD540:AD550" si="573">AA540</f>
        <v>40346.806249999994</v>
      </c>
      <c r="AE540" s="200">
        <f t="shared" ref="AE540:AE550" si="574">K540/AD540</f>
        <v>18.219335321573979</v>
      </c>
      <c r="AF540" s="167">
        <f t="shared" ref="AF540:AF550" si="575">AD540*AE540</f>
        <v>735091.9922233267</v>
      </c>
      <c r="AG540" s="67"/>
    </row>
    <row r="541" spans="1:33">
      <c r="A541" s="134"/>
      <c r="B541" s="153">
        <v>2</v>
      </c>
      <c r="C541" s="121" t="s">
        <v>978</v>
      </c>
      <c r="D541" s="121" t="s">
        <v>1237</v>
      </c>
      <c r="E541" s="209">
        <v>1</v>
      </c>
      <c r="F541" s="164">
        <v>3</v>
      </c>
      <c r="G541" s="164">
        <f>'Assumptions HR_AUN'!$F$8</f>
        <v>80.053187003968247</v>
      </c>
      <c r="H541" s="164">
        <f t="shared" si="565"/>
        <v>240.15956101190474</v>
      </c>
      <c r="I541" s="164">
        <f t="shared" ref="I541:K541" si="576">$H541*I$538</f>
        <v>168111.69270833331</v>
      </c>
      <c r="J541" s="164">
        <f t="shared" si="576"/>
        <v>168111.69270833331</v>
      </c>
      <c r="K541" s="164">
        <f t="shared" si="576"/>
        <v>168111.69270833331</v>
      </c>
      <c r="L541" s="111"/>
      <c r="M541" s="111"/>
      <c r="N541" s="111"/>
      <c r="O541" s="111"/>
      <c r="P541" s="111"/>
      <c r="Q541" s="111"/>
      <c r="R541" s="111"/>
      <c r="S541" s="712"/>
      <c r="T541" s="169" t="s">
        <v>946</v>
      </c>
      <c r="U541" s="169" t="s">
        <v>946</v>
      </c>
      <c r="V541" s="121" t="s">
        <v>977</v>
      </c>
      <c r="W541" s="121" t="s">
        <v>961</v>
      </c>
      <c r="X541" s="170">
        <f t="shared" si="567"/>
        <v>40346.806249999994</v>
      </c>
      <c r="Y541" s="200">
        <f t="shared" si="568"/>
        <v>4.166666666666667</v>
      </c>
      <c r="Z541" s="167">
        <f t="shared" si="569"/>
        <v>168111.69270833331</v>
      </c>
      <c r="AA541" s="164">
        <f t="shared" si="570"/>
        <v>40346.806249999994</v>
      </c>
      <c r="AB541" s="200">
        <f t="shared" si="571"/>
        <v>4.166666666666667</v>
      </c>
      <c r="AC541" s="167">
        <f t="shared" si="572"/>
        <v>168111.69270833331</v>
      </c>
      <c r="AD541" s="164">
        <f t="shared" si="573"/>
        <v>40346.806249999994</v>
      </c>
      <c r="AE541" s="200">
        <f t="shared" si="574"/>
        <v>4.166666666666667</v>
      </c>
      <c r="AF541" s="167">
        <f t="shared" si="575"/>
        <v>168111.69270833331</v>
      </c>
      <c r="AG541" s="67"/>
    </row>
    <row r="542" spans="1:33">
      <c r="A542" s="134"/>
      <c r="B542" s="153">
        <v>3</v>
      </c>
      <c r="C542" s="121" t="s">
        <v>978</v>
      </c>
      <c r="D542" s="121" t="s">
        <v>1238</v>
      </c>
      <c r="E542" s="209">
        <v>0.5</v>
      </c>
      <c r="F542" s="164">
        <v>4</v>
      </c>
      <c r="G542" s="164">
        <f>'Assumptions HR_AUN'!$F$8</f>
        <v>80.053187003968247</v>
      </c>
      <c r="H542" s="164">
        <f t="shared" si="565"/>
        <v>160.10637400793649</v>
      </c>
      <c r="I542" s="164">
        <f t="shared" ref="I542:K542" si="577">$H542*I$538</f>
        <v>112074.46180555555</v>
      </c>
      <c r="J542" s="164">
        <f t="shared" si="577"/>
        <v>112074.46180555555</v>
      </c>
      <c r="K542" s="164">
        <f t="shared" si="577"/>
        <v>112074.46180555555</v>
      </c>
      <c r="L542" s="111"/>
      <c r="M542" s="111"/>
      <c r="N542" s="111"/>
      <c r="O542" s="111"/>
      <c r="P542" s="111"/>
      <c r="Q542" s="111"/>
      <c r="R542" s="111"/>
      <c r="S542" s="712"/>
      <c r="T542" s="169" t="s">
        <v>946</v>
      </c>
      <c r="U542" s="169" t="s">
        <v>946</v>
      </c>
      <c r="V542" s="121" t="s">
        <v>977</v>
      </c>
      <c r="W542" s="121" t="s">
        <v>961</v>
      </c>
      <c r="X542" s="170">
        <f>G542*$D$35*$D$36</f>
        <v>40346.806249999994</v>
      </c>
      <c r="Y542" s="200">
        <f t="shared" si="568"/>
        <v>2.7777777777777781</v>
      </c>
      <c r="Z542" s="167">
        <f t="shared" si="569"/>
        <v>112074.46180555555</v>
      </c>
      <c r="AA542" s="164">
        <f t="shared" si="570"/>
        <v>40346.806249999994</v>
      </c>
      <c r="AB542" s="200">
        <f t="shared" si="571"/>
        <v>2.7777777777777781</v>
      </c>
      <c r="AC542" s="167">
        <f t="shared" si="572"/>
        <v>112074.46180555555</v>
      </c>
      <c r="AD542" s="164">
        <f t="shared" si="573"/>
        <v>40346.806249999994</v>
      </c>
      <c r="AE542" s="200">
        <f t="shared" si="574"/>
        <v>2.7777777777777781</v>
      </c>
      <c r="AF542" s="167">
        <f t="shared" si="575"/>
        <v>112074.46180555555</v>
      </c>
      <c r="AG542" s="67"/>
    </row>
    <row r="543" spans="1:33">
      <c r="A543" s="134"/>
      <c r="B543" s="153">
        <v>4</v>
      </c>
      <c r="C543" s="121" t="s">
        <v>978</v>
      </c>
      <c r="D543" s="121" t="s">
        <v>1239</v>
      </c>
      <c r="E543" s="209">
        <v>1</v>
      </c>
      <c r="F543" s="164">
        <v>6</v>
      </c>
      <c r="G543" s="164">
        <f>'Assumptions HR_AUN'!$F$4</f>
        <v>175.0219029103159</v>
      </c>
      <c r="H543" s="164">
        <f t="shared" si="565"/>
        <v>1050.1314174618954</v>
      </c>
      <c r="I543" s="164">
        <f t="shared" ref="I543:K543" si="578">$H543*I$538</f>
        <v>735091.9922233267</v>
      </c>
      <c r="J543" s="164">
        <f t="shared" si="578"/>
        <v>735091.9922233267</v>
      </c>
      <c r="K543" s="164">
        <f t="shared" si="578"/>
        <v>735091.9922233267</v>
      </c>
      <c r="L543" s="111"/>
      <c r="M543" s="111"/>
      <c r="N543" s="111"/>
      <c r="O543" s="111"/>
      <c r="P543" s="111"/>
      <c r="Q543" s="111"/>
      <c r="R543" s="111"/>
      <c r="S543" s="712"/>
      <c r="T543" s="169" t="s">
        <v>946</v>
      </c>
      <c r="U543" s="169" t="s">
        <v>946</v>
      </c>
      <c r="V543" s="121" t="s">
        <v>977</v>
      </c>
      <c r="W543" s="121" t="s">
        <v>961</v>
      </c>
      <c r="X543" s="170">
        <f>$G$541*$D$35*$D$36</f>
        <v>40346.806249999994</v>
      </c>
      <c r="Y543" s="200">
        <f t="shared" si="568"/>
        <v>18.219335321573979</v>
      </c>
      <c r="Z543" s="167">
        <f t="shared" si="569"/>
        <v>735091.9922233267</v>
      </c>
      <c r="AA543" s="164">
        <f t="shared" si="570"/>
        <v>40346.806249999994</v>
      </c>
      <c r="AB543" s="200">
        <f t="shared" si="571"/>
        <v>18.219335321573979</v>
      </c>
      <c r="AC543" s="167">
        <f t="shared" si="572"/>
        <v>735091.9922233267</v>
      </c>
      <c r="AD543" s="164">
        <f t="shared" si="573"/>
        <v>40346.806249999994</v>
      </c>
      <c r="AE543" s="200">
        <f t="shared" si="574"/>
        <v>18.219335321573979</v>
      </c>
      <c r="AF543" s="167">
        <f t="shared" si="575"/>
        <v>735091.9922233267</v>
      </c>
      <c r="AG543" s="67"/>
    </row>
    <row r="544" spans="1:33">
      <c r="A544" s="134"/>
      <c r="B544" s="153">
        <v>5</v>
      </c>
      <c r="C544" s="121" t="s">
        <v>978</v>
      </c>
      <c r="D544" s="121" t="s">
        <v>1240</v>
      </c>
      <c r="E544" s="209"/>
      <c r="F544" s="164">
        <v>0.3</v>
      </c>
      <c r="G544" s="164">
        <f>$D$27</f>
        <v>300</v>
      </c>
      <c r="H544" s="164">
        <f>F544*G544</f>
        <v>90</v>
      </c>
      <c r="I544" s="164">
        <f t="shared" ref="I544:K544" si="579">$H544*I$538</f>
        <v>63000</v>
      </c>
      <c r="J544" s="164">
        <f t="shared" si="579"/>
        <v>63000</v>
      </c>
      <c r="K544" s="164">
        <f t="shared" si="579"/>
        <v>63000</v>
      </c>
      <c r="L544" s="111"/>
      <c r="M544" s="111"/>
      <c r="N544" s="111"/>
      <c r="O544" s="111"/>
      <c r="P544" s="111"/>
      <c r="Q544" s="111"/>
      <c r="R544" s="111"/>
      <c r="S544" s="712"/>
      <c r="T544" s="169" t="s">
        <v>946</v>
      </c>
      <c r="U544" s="169" t="s">
        <v>946</v>
      </c>
      <c r="V544" s="121" t="s">
        <v>957</v>
      </c>
      <c r="W544" s="121" t="s">
        <v>789</v>
      </c>
      <c r="X544" s="170">
        <f>$G$547</f>
        <v>60</v>
      </c>
      <c r="Y544" s="200">
        <f t="shared" si="568"/>
        <v>1050</v>
      </c>
      <c r="Z544" s="167">
        <f t="shared" si="569"/>
        <v>63000</v>
      </c>
      <c r="AA544" s="164">
        <f t="shared" si="570"/>
        <v>60</v>
      </c>
      <c r="AB544" s="200">
        <f t="shared" si="571"/>
        <v>1050</v>
      </c>
      <c r="AC544" s="167">
        <f t="shared" si="572"/>
        <v>63000</v>
      </c>
      <c r="AD544" s="164">
        <f t="shared" si="573"/>
        <v>60</v>
      </c>
      <c r="AE544" s="200">
        <f t="shared" si="574"/>
        <v>1050</v>
      </c>
      <c r="AF544" s="167">
        <f t="shared" si="575"/>
        <v>63000</v>
      </c>
      <c r="AG544" s="67"/>
    </row>
    <row r="545" spans="1:33">
      <c r="A545" s="134"/>
      <c r="B545" s="153">
        <v>6</v>
      </c>
      <c r="C545" s="121" t="s">
        <v>987</v>
      </c>
      <c r="D545" s="121" t="s">
        <v>1241</v>
      </c>
      <c r="E545" s="209">
        <v>0.8</v>
      </c>
      <c r="F545" s="164">
        <v>1</v>
      </c>
      <c r="G545" s="164">
        <f>'Assumptions HR_AUN'!$F$8</f>
        <v>80.053187003968247</v>
      </c>
      <c r="H545" s="164">
        <f>E545*F545*G545</f>
        <v>64.042549603174606</v>
      </c>
      <c r="I545" s="164">
        <f t="shared" ref="I545:K545" si="580">$H545*I$538</f>
        <v>44829.784722222226</v>
      </c>
      <c r="J545" s="164">
        <f t="shared" si="580"/>
        <v>44829.784722222226</v>
      </c>
      <c r="K545" s="164">
        <f t="shared" si="580"/>
        <v>44829.784722222226</v>
      </c>
      <c r="L545" s="111"/>
      <c r="M545" s="111"/>
      <c r="N545" s="111"/>
      <c r="O545" s="111"/>
      <c r="P545" s="111"/>
      <c r="Q545" s="111"/>
      <c r="R545" s="111"/>
      <c r="S545" s="712"/>
      <c r="T545" s="169" t="s">
        <v>946</v>
      </c>
      <c r="U545" s="169" t="s">
        <v>946</v>
      </c>
      <c r="V545" s="121" t="s">
        <v>977</v>
      </c>
      <c r="W545" s="121" t="s">
        <v>961</v>
      </c>
      <c r="X545" s="170">
        <f>G545*$D$35*$D$36</f>
        <v>40346.806249999994</v>
      </c>
      <c r="Y545" s="200">
        <f t="shared" si="568"/>
        <v>1.1111111111111114</v>
      </c>
      <c r="Z545" s="167">
        <f t="shared" si="569"/>
        <v>44829.784722222226</v>
      </c>
      <c r="AA545" s="164">
        <f t="shared" si="570"/>
        <v>40346.806249999994</v>
      </c>
      <c r="AB545" s="200">
        <f t="shared" si="571"/>
        <v>1.1111111111111114</v>
      </c>
      <c r="AC545" s="167">
        <f t="shared" si="572"/>
        <v>44829.784722222226</v>
      </c>
      <c r="AD545" s="164">
        <f t="shared" si="573"/>
        <v>40346.806249999994</v>
      </c>
      <c r="AE545" s="200">
        <f t="shared" si="574"/>
        <v>1.1111111111111114</v>
      </c>
      <c r="AF545" s="167">
        <f t="shared" si="575"/>
        <v>44829.784722222226</v>
      </c>
      <c r="AG545" s="67"/>
    </row>
    <row r="546" spans="1:33">
      <c r="A546" s="134"/>
      <c r="B546" s="153">
        <v>7</v>
      </c>
      <c r="C546" s="121" t="s">
        <v>992</v>
      </c>
      <c r="D546" s="121" t="s">
        <v>1242</v>
      </c>
      <c r="E546" s="209"/>
      <c r="F546" s="164">
        <v>0.25</v>
      </c>
      <c r="G546" s="164">
        <f>D23</f>
        <v>1025</v>
      </c>
      <c r="H546" s="164">
        <f t="shared" ref="H546:H548" si="581">F546*G546</f>
        <v>256.25</v>
      </c>
      <c r="I546" s="164">
        <f t="shared" ref="I546:K546" si="582">$H546*I$538</f>
        <v>179375</v>
      </c>
      <c r="J546" s="164">
        <f t="shared" si="582"/>
        <v>179375</v>
      </c>
      <c r="K546" s="164">
        <f t="shared" si="582"/>
        <v>179375</v>
      </c>
      <c r="L546" s="111"/>
      <c r="M546" s="111"/>
      <c r="N546" s="111"/>
      <c r="O546" s="111"/>
      <c r="P546" s="111"/>
      <c r="Q546" s="111"/>
      <c r="R546" s="111"/>
      <c r="S546" s="712"/>
      <c r="T546" s="169" t="s">
        <v>946</v>
      </c>
      <c r="U546" s="169" t="s">
        <v>946</v>
      </c>
      <c r="V546" s="121" t="s">
        <v>994</v>
      </c>
      <c r="W546" s="121" t="s">
        <v>789</v>
      </c>
      <c r="X546" s="170">
        <f>G546</f>
        <v>1025</v>
      </c>
      <c r="Y546" s="200">
        <f t="shared" si="568"/>
        <v>175</v>
      </c>
      <c r="Z546" s="167">
        <f t="shared" si="569"/>
        <v>179375</v>
      </c>
      <c r="AA546" s="164">
        <f t="shared" si="570"/>
        <v>1025</v>
      </c>
      <c r="AB546" s="200">
        <f t="shared" si="571"/>
        <v>175</v>
      </c>
      <c r="AC546" s="167">
        <f t="shared" si="572"/>
        <v>179375</v>
      </c>
      <c r="AD546" s="164">
        <f t="shared" si="573"/>
        <v>1025</v>
      </c>
      <c r="AE546" s="200">
        <f t="shared" si="574"/>
        <v>175</v>
      </c>
      <c r="AF546" s="167">
        <f t="shared" si="575"/>
        <v>179375</v>
      </c>
      <c r="AG546" s="67"/>
    </row>
    <row r="547" spans="1:33">
      <c r="A547" s="134"/>
      <c r="B547" s="153">
        <v>8</v>
      </c>
      <c r="C547" s="121" t="s">
        <v>978</v>
      </c>
      <c r="D547" s="121" t="s">
        <v>1243</v>
      </c>
      <c r="E547" s="209"/>
      <c r="F547" s="164">
        <v>0.5</v>
      </c>
      <c r="G547" s="164">
        <f>$D$32</f>
        <v>60</v>
      </c>
      <c r="H547" s="164">
        <f t="shared" si="581"/>
        <v>30</v>
      </c>
      <c r="I547" s="164">
        <f t="shared" ref="I547:K547" si="583">$H547*I$538</f>
        <v>21000</v>
      </c>
      <c r="J547" s="164">
        <f t="shared" si="583"/>
        <v>21000</v>
      </c>
      <c r="K547" s="164">
        <f t="shared" si="583"/>
        <v>21000</v>
      </c>
      <c r="L547" s="111"/>
      <c r="M547" s="111"/>
      <c r="N547" s="111"/>
      <c r="O547" s="111"/>
      <c r="P547" s="111"/>
      <c r="Q547" s="111"/>
      <c r="R547" s="111"/>
      <c r="S547" s="712"/>
      <c r="T547" s="169" t="s">
        <v>946</v>
      </c>
      <c r="U547" s="169" t="s">
        <v>946</v>
      </c>
      <c r="V547" s="121" t="s">
        <v>957</v>
      </c>
      <c r="W547" s="121" t="s">
        <v>789</v>
      </c>
      <c r="X547" s="170">
        <f>$G$547</f>
        <v>60</v>
      </c>
      <c r="Y547" s="200">
        <f t="shared" si="568"/>
        <v>350</v>
      </c>
      <c r="Z547" s="167">
        <f t="shared" si="569"/>
        <v>21000</v>
      </c>
      <c r="AA547" s="164">
        <f t="shared" si="570"/>
        <v>60</v>
      </c>
      <c r="AB547" s="200">
        <f t="shared" si="571"/>
        <v>350</v>
      </c>
      <c r="AC547" s="167">
        <f t="shared" si="572"/>
        <v>21000</v>
      </c>
      <c r="AD547" s="164">
        <f t="shared" si="573"/>
        <v>60</v>
      </c>
      <c r="AE547" s="200">
        <f t="shared" si="574"/>
        <v>350</v>
      </c>
      <c r="AF547" s="167">
        <f t="shared" si="575"/>
        <v>21000</v>
      </c>
      <c r="AG547" s="67"/>
    </row>
    <row r="548" spans="1:33">
      <c r="A548" s="134"/>
      <c r="B548" s="153">
        <v>9</v>
      </c>
      <c r="C548" s="121" t="s">
        <v>1179</v>
      </c>
      <c r="D548" s="121" t="s">
        <v>1244</v>
      </c>
      <c r="E548" s="209"/>
      <c r="F548" s="164">
        <v>2</v>
      </c>
      <c r="G548" s="164">
        <f>$D$34</f>
        <v>125</v>
      </c>
      <c r="H548" s="164">
        <f t="shared" si="581"/>
        <v>250</v>
      </c>
      <c r="I548" s="164">
        <f t="shared" ref="I548:K548" si="584">$H548*I$538</f>
        <v>175000</v>
      </c>
      <c r="J548" s="164">
        <f t="shared" si="584"/>
        <v>175000</v>
      </c>
      <c r="K548" s="164">
        <f t="shared" si="584"/>
        <v>175000</v>
      </c>
      <c r="L548" s="111"/>
      <c r="M548" s="111"/>
      <c r="N548" s="111"/>
      <c r="O548" s="111"/>
      <c r="P548" s="111"/>
      <c r="Q548" s="111"/>
      <c r="R548" s="111"/>
      <c r="S548" s="712"/>
      <c r="T548" s="169" t="s">
        <v>946</v>
      </c>
      <c r="U548" s="169" t="s">
        <v>946</v>
      </c>
      <c r="V548" s="121" t="s">
        <v>950</v>
      </c>
      <c r="W548" s="121" t="s">
        <v>951</v>
      </c>
      <c r="X548" s="170">
        <f>G548</f>
        <v>125</v>
      </c>
      <c r="Y548" s="200">
        <f t="shared" si="568"/>
        <v>1400</v>
      </c>
      <c r="Z548" s="167">
        <f t="shared" si="569"/>
        <v>175000</v>
      </c>
      <c r="AA548" s="164">
        <f t="shared" si="570"/>
        <v>125</v>
      </c>
      <c r="AB548" s="200">
        <f t="shared" si="571"/>
        <v>1400</v>
      </c>
      <c r="AC548" s="167">
        <f t="shared" si="572"/>
        <v>175000</v>
      </c>
      <c r="AD548" s="164">
        <f t="shared" si="573"/>
        <v>125</v>
      </c>
      <c r="AE548" s="200">
        <f t="shared" si="574"/>
        <v>1400</v>
      </c>
      <c r="AF548" s="167">
        <f t="shared" si="575"/>
        <v>175000</v>
      </c>
      <c r="AG548" s="67"/>
    </row>
    <row r="549" spans="1:33">
      <c r="A549" s="134"/>
      <c r="B549" s="153">
        <v>10</v>
      </c>
      <c r="C549" s="121" t="s">
        <v>1001</v>
      </c>
      <c r="D549" s="121"/>
      <c r="E549" s="209"/>
      <c r="F549" s="164"/>
      <c r="G549" s="185">
        <f>$C$13</f>
        <v>0.1</v>
      </c>
      <c r="H549" s="164">
        <f>SUM(H540:H548)*G549</f>
        <v>319.08213195468068</v>
      </c>
      <c r="I549" s="164">
        <f t="shared" ref="I549:K549" si="585">$H549*I$538</f>
        <v>223357.49236827646</v>
      </c>
      <c r="J549" s="164">
        <f t="shared" si="585"/>
        <v>223357.49236827646</v>
      </c>
      <c r="K549" s="164">
        <f t="shared" si="585"/>
        <v>223357.49236827646</v>
      </c>
      <c r="L549" s="111"/>
      <c r="M549" s="111"/>
      <c r="N549" s="111"/>
      <c r="O549" s="111"/>
      <c r="P549" s="111"/>
      <c r="Q549" s="111"/>
      <c r="R549" s="111"/>
      <c r="S549" s="712"/>
      <c r="T549" s="169" t="s">
        <v>946</v>
      </c>
      <c r="U549" s="169" t="s">
        <v>946</v>
      </c>
      <c r="V549" s="121" t="s">
        <v>875</v>
      </c>
      <c r="W549" s="121" t="s">
        <v>961</v>
      </c>
      <c r="X549" s="170">
        <f>'Assumptions HR_AUN'!$D$4*3</f>
        <v>88211.039066799218</v>
      </c>
      <c r="Y549" s="200">
        <f t="shared" si="568"/>
        <v>2.5320809587010471</v>
      </c>
      <c r="Z549" s="167">
        <f t="shared" si="569"/>
        <v>223357.49236827649</v>
      </c>
      <c r="AA549" s="164">
        <f t="shared" si="570"/>
        <v>88211.039066799218</v>
      </c>
      <c r="AB549" s="200">
        <f t="shared" si="571"/>
        <v>2.5320809587010471</v>
      </c>
      <c r="AC549" s="167">
        <f t="shared" si="572"/>
        <v>223357.49236827649</v>
      </c>
      <c r="AD549" s="164">
        <f t="shared" si="573"/>
        <v>88211.039066799218</v>
      </c>
      <c r="AE549" s="200">
        <f t="shared" si="574"/>
        <v>2.5320809587010471</v>
      </c>
      <c r="AF549" s="167">
        <f t="shared" si="575"/>
        <v>223357.49236827649</v>
      </c>
      <c r="AG549" s="67"/>
    </row>
    <row r="550" spans="1:33">
      <c r="A550" s="134"/>
      <c r="B550" s="153">
        <v>11</v>
      </c>
      <c r="C550" s="121" t="s">
        <v>962</v>
      </c>
      <c r="D550" s="121"/>
      <c r="E550" s="209"/>
      <c r="F550" s="164"/>
      <c r="G550" s="185">
        <f>$C$14</f>
        <v>0.15</v>
      </c>
      <c r="H550" s="164">
        <f>SUM(H540:H548)*G550</f>
        <v>478.62319793202096</v>
      </c>
      <c r="I550" s="164">
        <f t="shared" ref="I550:K550" si="586">$H550*I$538</f>
        <v>335036.2385524147</v>
      </c>
      <c r="J550" s="164">
        <f t="shared" si="586"/>
        <v>335036.2385524147</v>
      </c>
      <c r="K550" s="164">
        <f t="shared" si="586"/>
        <v>335036.2385524147</v>
      </c>
      <c r="L550" s="111"/>
      <c r="M550" s="111"/>
      <c r="N550" s="111"/>
      <c r="O550" s="111"/>
      <c r="P550" s="111"/>
      <c r="Q550" s="111"/>
      <c r="R550" s="111"/>
      <c r="S550" s="712"/>
      <c r="T550" s="169" t="s">
        <v>946</v>
      </c>
      <c r="U550" s="169" t="s">
        <v>946</v>
      </c>
      <c r="V550" s="121" t="s">
        <v>881</v>
      </c>
      <c r="W550" s="121" t="s">
        <v>964</v>
      </c>
      <c r="X550" s="170">
        <f>I550/4</f>
        <v>83759.059638103674</v>
      </c>
      <c r="Y550" s="200">
        <f t="shared" si="568"/>
        <v>4</v>
      </c>
      <c r="Z550" s="167">
        <f t="shared" si="569"/>
        <v>335036.2385524147</v>
      </c>
      <c r="AA550" s="164">
        <f t="shared" si="570"/>
        <v>83759.059638103674</v>
      </c>
      <c r="AB550" s="200">
        <f t="shared" si="571"/>
        <v>4</v>
      </c>
      <c r="AC550" s="167">
        <f t="shared" si="572"/>
        <v>335036.2385524147</v>
      </c>
      <c r="AD550" s="164">
        <f t="shared" si="573"/>
        <v>83759.059638103674</v>
      </c>
      <c r="AE550" s="200">
        <f t="shared" si="574"/>
        <v>4</v>
      </c>
      <c r="AF550" s="167">
        <f t="shared" si="575"/>
        <v>335036.2385524147</v>
      </c>
      <c r="AG550" s="67"/>
    </row>
    <row r="551" spans="1:33">
      <c r="A551" s="134"/>
      <c r="B551" s="212" t="s">
        <v>770</v>
      </c>
      <c r="C551" s="212"/>
      <c r="D551" s="212"/>
      <c r="E551" s="212"/>
      <c r="F551" s="212"/>
      <c r="G551" s="178"/>
      <c r="H551" s="178">
        <f t="shared" ref="H551:K551" si="587">SUM(H540:H550)</f>
        <v>3988.5266494335083</v>
      </c>
      <c r="I551" s="178">
        <f t="shared" si="587"/>
        <v>2791968.6546034552</v>
      </c>
      <c r="J551" s="178">
        <f t="shared" si="587"/>
        <v>2791968.6546034552</v>
      </c>
      <c r="K551" s="178">
        <f t="shared" si="587"/>
        <v>2791968.6546034552</v>
      </c>
      <c r="L551" s="111"/>
      <c r="M551" s="111"/>
      <c r="N551" s="111"/>
      <c r="O551" s="111"/>
      <c r="P551" s="111"/>
      <c r="Q551" s="111"/>
      <c r="R551" s="111"/>
      <c r="S551" s="712"/>
      <c r="T551" s="111"/>
      <c r="U551" s="111"/>
      <c r="V551" s="111"/>
      <c r="W551" s="111"/>
      <c r="X551" s="132"/>
      <c r="Y551" s="133"/>
      <c r="Z551" s="132"/>
      <c r="AA551" s="132"/>
      <c r="AB551" s="133"/>
      <c r="AC551" s="132"/>
      <c r="AD551" s="132"/>
      <c r="AE551" s="133"/>
      <c r="AF551" s="132"/>
      <c r="AG551" s="67"/>
    </row>
    <row r="552" spans="1:33">
      <c r="A552" s="9"/>
      <c r="B552" s="111"/>
      <c r="C552" s="111"/>
      <c r="D552" s="111"/>
      <c r="E552" s="111"/>
      <c r="F552" s="111"/>
      <c r="G552" s="111"/>
      <c r="H552" s="111"/>
      <c r="I552" s="111"/>
      <c r="J552" s="111"/>
      <c r="K552" s="111"/>
      <c r="L552" s="111"/>
      <c r="M552" s="111"/>
      <c r="N552" s="111"/>
      <c r="O552" s="111"/>
      <c r="P552" s="111"/>
      <c r="Q552" s="111"/>
      <c r="R552" s="111"/>
      <c r="S552" s="712"/>
      <c r="T552" s="111"/>
      <c r="U552" s="111"/>
      <c r="V552" s="111"/>
      <c r="W552" s="111"/>
      <c r="X552" s="111"/>
      <c r="Y552" s="111"/>
      <c r="Z552" s="111"/>
      <c r="AA552" s="111"/>
      <c r="AB552" s="111"/>
      <c r="AC552" s="111"/>
      <c r="AD552" s="111"/>
      <c r="AE552" s="111"/>
      <c r="AF552" s="111"/>
      <c r="AG552" s="67"/>
    </row>
    <row r="553" spans="1:33">
      <c r="A553" s="9"/>
      <c r="B553" s="111"/>
      <c r="C553" s="111"/>
      <c r="D553" s="111"/>
      <c r="E553" s="111"/>
      <c r="F553" s="111"/>
      <c r="G553" s="111"/>
      <c r="H553" s="111"/>
      <c r="I553" s="151"/>
      <c r="J553" s="111"/>
      <c r="K553" s="111"/>
      <c r="L553" s="111"/>
      <c r="M553" s="111"/>
      <c r="N553" s="111"/>
      <c r="O553" s="111"/>
      <c r="P553" s="111"/>
      <c r="Q553" s="111"/>
      <c r="R553" s="111"/>
      <c r="S553" s="712"/>
      <c r="T553" s="111"/>
      <c r="U553" s="111"/>
      <c r="V553" s="111"/>
      <c r="W553" s="111"/>
      <c r="X553" s="111"/>
      <c r="Y553" s="111"/>
      <c r="Z553" s="111"/>
      <c r="AA553" s="111"/>
      <c r="AB553" s="111"/>
      <c r="AC553" s="111"/>
      <c r="AD553" s="111"/>
      <c r="AE553" s="111"/>
      <c r="AF553" s="111"/>
      <c r="AG553" s="67"/>
    </row>
    <row r="554" spans="1:33">
      <c r="A554" s="9"/>
      <c r="B554" s="111"/>
      <c r="C554" s="111"/>
      <c r="D554" s="111"/>
      <c r="E554" s="111"/>
      <c r="F554" s="111"/>
      <c r="G554" s="111"/>
      <c r="H554" s="111"/>
      <c r="I554" s="67"/>
      <c r="J554" s="67"/>
      <c r="K554" s="67"/>
      <c r="L554" s="111"/>
      <c r="M554" s="111"/>
      <c r="N554" s="111"/>
      <c r="O554" s="111"/>
      <c r="P554" s="111"/>
      <c r="Q554" s="111"/>
      <c r="R554" s="111"/>
      <c r="S554" s="712"/>
      <c r="T554" s="111"/>
      <c r="U554" s="111"/>
      <c r="V554" s="111"/>
      <c r="W554" s="111"/>
      <c r="X554" s="132"/>
      <c r="Y554" s="133"/>
      <c r="Z554" s="132"/>
      <c r="AA554" s="132"/>
      <c r="AB554" s="133"/>
      <c r="AC554" s="132"/>
      <c r="AD554" s="132"/>
      <c r="AE554" s="133"/>
      <c r="AF554" s="132"/>
      <c r="AG554" s="67"/>
    </row>
    <row r="555" spans="1:33">
      <c r="A555" s="725">
        <v>30</v>
      </c>
      <c r="B555" s="726" t="e" vm="1">
        <f>'[2]AUN Budget'!$E$137</f>
        <v>#VALUE!</v>
      </c>
      <c r="C555" s="731"/>
      <c r="D555" s="731"/>
      <c r="E555" s="731"/>
      <c r="F555" s="731"/>
      <c r="G555" s="731"/>
      <c r="H555" s="731"/>
      <c r="I555" s="216">
        <v>700</v>
      </c>
      <c r="J555" s="229">
        <f>700+1500</f>
        <v>2200</v>
      </c>
      <c r="K555" s="216">
        <v>700</v>
      </c>
      <c r="L555" s="227">
        <v>2200</v>
      </c>
      <c r="M555" s="111"/>
      <c r="N555" s="111"/>
      <c r="O555" s="111"/>
      <c r="P555" s="111"/>
      <c r="Q555" s="111"/>
      <c r="R555" s="111"/>
      <c r="S555" s="712"/>
      <c r="T555" s="111"/>
      <c r="U555" s="111"/>
      <c r="V555" s="111"/>
      <c r="W555" s="111"/>
      <c r="X555" s="132"/>
      <c r="Y555" s="133"/>
      <c r="Z555" s="132"/>
      <c r="AA555" s="132"/>
      <c r="AB555" s="133"/>
      <c r="AC555" s="132"/>
      <c r="AD555" s="132"/>
      <c r="AE555" s="133"/>
      <c r="AF555" s="132"/>
      <c r="AG555" s="67"/>
    </row>
    <row r="556" spans="1:33">
      <c r="A556" s="157" t="s">
        <v>34</v>
      </c>
      <c r="B556" s="113" t="s">
        <v>755</v>
      </c>
      <c r="C556" s="113" t="s">
        <v>966</v>
      </c>
      <c r="D556" s="113" t="s">
        <v>967</v>
      </c>
      <c r="E556" s="113" t="s">
        <v>968</v>
      </c>
      <c r="F556" s="113" t="s">
        <v>969</v>
      </c>
      <c r="G556" s="113" t="s">
        <v>970</v>
      </c>
      <c r="H556" s="113" t="s">
        <v>971</v>
      </c>
      <c r="I556" s="113" t="s">
        <v>972</v>
      </c>
      <c r="J556" s="113" t="s">
        <v>973</v>
      </c>
      <c r="K556" s="113" t="s">
        <v>974</v>
      </c>
      <c r="L556" s="230" t="s">
        <v>974</v>
      </c>
      <c r="M556" s="111"/>
      <c r="N556" s="111"/>
      <c r="O556" s="182"/>
      <c r="P556" s="182"/>
      <c r="Q556" s="182"/>
      <c r="R556" s="182"/>
      <c r="S556" s="727"/>
      <c r="T556" s="159" t="s">
        <v>387</v>
      </c>
      <c r="U556" s="159" t="s">
        <v>388</v>
      </c>
      <c r="V556" s="159" t="s">
        <v>934</v>
      </c>
      <c r="W556" s="160" t="s">
        <v>935</v>
      </c>
      <c r="X556" s="161" t="s">
        <v>936</v>
      </c>
      <c r="Y556" s="162" t="s">
        <v>937</v>
      </c>
      <c r="Z556" s="161" t="s">
        <v>938</v>
      </c>
      <c r="AA556" s="161" t="s">
        <v>939</v>
      </c>
      <c r="AB556" s="162" t="s">
        <v>940</v>
      </c>
      <c r="AC556" s="161" t="s">
        <v>941</v>
      </c>
      <c r="AD556" s="161" t="s">
        <v>942</v>
      </c>
      <c r="AE556" s="162" t="s">
        <v>943</v>
      </c>
      <c r="AF556" s="161" t="s">
        <v>944</v>
      </c>
      <c r="AG556" s="67"/>
    </row>
    <row r="557" spans="1:33">
      <c r="A557" s="134"/>
      <c r="B557" s="153">
        <v>1</v>
      </c>
      <c r="C557" s="121" t="s">
        <v>978</v>
      </c>
      <c r="D557" s="121" t="s">
        <v>1161</v>
      </c>
      <c r="E557" s="209">
        <v>0.5</v>
      </c>
      <c r="F557" s="164">
        <v>10</v>
      </c>
      <c r="G557" s="164">
        <f>'Assumptions HR_AUN'!$F$8</f>
        <v>80.053187003968247</v>
      </c>
      <c r="H557" s="164">
        <f t="shared" ref="H557:H558" si="588">E557*F557*G557</f>
        <v>400.26593501984121</v>
      </c>
      <c r="I557" s="164">
        <f t="shared" ref="I557:I562" si="589">H557*$I$555</f>
        <v>280186.15451388882</v>
      </c>
      <c r="J557" s="164">
        <f t="shared" ref="J557:J562" si="590">$J$555*H557</f>
        <v>880585.05704365065</v>
      </c>
      <c r="K557" s="164">
        <f t="shared" ref="K557:K562" si="591">$K$555*H557</f>
        <v>280186.15451388882</v>
      </c>
      <c r="L557" s="227">
        <v>880585</v>
      </c>
      <c r="M557" s="111"/>
      <c r="N557" s="111"/>
      <c r="O557" s="111"/>
      <c r="P557" s="111"/>
      <c r="Q557" s="111"/>
      <c r="R557" s="111"/>
      <c r="S557" s="712"/>
      <c r="T557" s="169" t="s">
        <v>946</v>
      </c>
      <c r="U557" s="169" t="s">
        <v>946</v>
      </c>
      <c r="V557" s="121" t="s">
        <v>977</v>
      </c>
      <c r="W557" s="121" t="s">
        <v>961</v>
      </c>
      <c r="X557" s="170">
        <f>$G557*$D$35*$D$36</f>
        <v>40346.806249999994</v>
      </c>
      <c r="Y557" s="200">
        <f t="shared" ref="Y557:Y562" si="592">I557/X557</f>
        <v>6.9444444444444438</v>
      </c>
      <c r="Z557" s="167">
        <f t="shared" ref="Z557:Z562" si="593">X557*Y557</f>
        <v>280186.15451388882</v>
      </c>
      <c r="AA557" s="164">
        <f>$G557*$D$35*$D$36</f>
        <v>40346.806249999994</v>
      </c>
      <c r="AB557" s="200">
        <f t="shared" ref="AB557:AB562" si="594">J557/AA557</f>
        <v>21.825396825396826</v>
      </c>
      <c r="AC557" s="167">
        <f t="shared" ref="AC557:AC562" si="595">AA557*AB557</f>
        <v>880585.05704365065</v>
      </c>
      <c r="AD557" s="164">
        <f>$G557*$D$35*$D$36</f>
        <v>40346.806249999994</v>
      </c>
      <c r="AE557" s="200">
        <f t="shared" ref="AE557:AE562" si="596">K557/AD557</f>
        <v>6.9444444444444438</v>
      </c>
      <c r="AF557" s="167">
        <f t="shared" ref="AF557:AF562" si="597">AD557*AE557</f>
        <v>280186.15451388882</v>
      </c>
      <c r="AG557" s="67"/>
    </row>
    <row r="558" spans="1:33">
      <c r="A558" s="134"/>
      <c r="B558" s="153">
        <v>2</v>
      </c>
      <c r="C558" s="121" t="s">
        <v>978</v>
      </c>
      <c r="D558" s="121" t="s">
        <v>1098</v>
      </c>
      <c r="E558" s="209">
        <v>0.5</v>
      </c>
      <c r="F558" s="164">
        <v>4</v>
      </c>
      <c r="G558" s="164">
        <f>'Assumptions HR_AUN'!$F$4</f>
        <v>175.0219029103159</v>
      </c>
      <c r="H558" s="164">
        <f t="shared" si="588"/>
        <v>350.0438058206318</v>
      </c>
      <c r="I558" s="164">
        <f t="shared" si="589"/>
        <v>245030.66407444226</v>
      </c>
      <c r="J558" s="164">
        <f t="shared" si="590"/>
        <v>770096.37280538992</v>
      </c>
      <c r="K558" s="164">
        <f t="shared" si="591"/>
        <v>245030.66407444226</v>
      </c>
      <c r="L558" s="227">
        <v>770096</v>
      </c>
      <c r="M558" s="111"/>
      <c r="N558" s="111"/>
      <c r="O558" s="111"/>
      <c r="P558" s="111"/>
      <c r="Q558" s="111"/>
      <c r="R558" s="111"/>
      <c r="S558" s="712"/>
      <c r="T558" s="169" t="s">
        <v>946</v>
      </c>
      <c r="U558" s="169" t="s">
        <v>946</v>
      </c>
      <c r="V558" s="121" t="s">
        <v>848</v>
      </c>
      <c r="W558" s="164" t="s">
        <v>947</v>
      </c>
      <c r="X558" s="170">
        <f>$G558*$D$35*$D$36/20</f>
        <v>4410.5519533399611</v>
      </c>
      <c r="Y558" s="200">
        <f t="shared" si="592"/>
        <v>55.55555555555555</v>
      </c>
      <c r="Z558" s="167">
        <f t="shared" si="593"/>
        <v>245030.66407444226</v>
      </c>
      <c r="AA558" s="164">
        <f>$G558*$D$35*$D$36/20</f>
        <v>4410.5519533399611</v>
      </c>
      <c r="AB558" s="200">
        <f t="shared" si="594"/>
        <v>174.60317460317458</v>
      </c>
      <c r="AC558" s="167">
        <f t="shared" si="595"/>
        <v>770096.37280538992</v>
      </c>
      <c r="AD558" s="164">
        <f>$G558*$D$35*$D$36/20</f>
        <v>4410.5519533399611</v>
      </c>
      <c r="AE558" s="200">
        <f t="shared" si="596"/>
        <v>55.55555555555555</v>
      </c>
      <c r="AF558" s="167">
        <f t="shared" si="597"/>
        <v>245030.66407444226</v>
      </c>
      <c r="AG558" s="67"/>
    </row>
    <row r="559" spans="1:33">
      <c r="A559" s="134"/>
      <c r="B559" s="153">
        <v>3</v>
      </c>
      <c r="C559" s="121" t="s">
        <v>997</v>
      </c>
      <c r="D559" s="121" t="s">
        <v>1050</v>
      </c>
      <c r="E559" s="209"/>
      <c r="F559" s="164">
        <v>2</v>
      </c>
      <c r="G559" s="164">
        <f>$D$32</f>
        <v>60</v>
      </c>
      <c r="H559" s="164">
        <f t="shared" ref="H559:H560" si="598">F559*G559</f>
        <v>120</v>
      </c>
      <c r="I559" s="164">
        <f t="shared" si="589"/>
        <v>84000</v>
      </c>
      <c r="J559" s="164">
        <f t="shared" si="590"/>
        <v>264000</v>
      </c>
      <c r="K559" s="164">
        <f t="shared" si="591"/>
        <v>84000</v>
      </c>
      <c r="L559" s="227">
        <v>264000</v>
      </c>
      <c r="M559" s="111"/>
      <c r="N559" s="111"/>
      <c r="O559" s="111"/>
      <c r="P559" s="111"/>
      <c r="Q559" s="111"/>
      <c r="R559" s="111"/>
      <c r="S559" s="712"/>
      <c r="T559" s="169" t="s">
        <v>946</v>
      </c>
      <c r="U559" s="169" t="s">
        <v>946</v>
      </c>
      <c r="V559" s="121" t="s">
        <v>957</v>
      </c>
      <c r="W559" s="121" t="s">
        <v>789</v>
      </c>
      <c r="X559" s="170">
        <f t="shared" ref="X559:X560" si="599">G559</f>
        <v>60</v>
      </c>
      <c r="Y559" s="200">
        <f t="shared" si="592"/>
        <v>1400</v>
      </c>
      <c r="Z559" s="167">
        <f t="shared" si="593"/>
        <v>84000</v>
      </c>
      <c r="AA559" s="164">
        <f t="shared" ref="AA559:AA560" si="600">$G559*$D$35*$D$36</f>
        <v>30240</v>
      </c>
      <c r="AB559" s="200">
        <f t="shared" si="594"/>
        <v>8.7301587301587293</v>
      </c>
      <c r="AC559" s="167">
        <f t="shared" si="595"/>
        <v>264000</v>
      </c>
      <c r="AD559" s="164">
        <f t="shared" ref="AD559:AD560" si="601">$G559*$D$35*$D$36</f>
        <v>30240</v>
      </c>
      <c r="AE559" s="200">
        <f t="shared" si="596"/>
        <v>2.7777777777777777</v>
      </c>
      <c r="AF559" s="167">
        <f t="shared" si="597"/>
        <v>84000</v>
      </c>
      <c r="AG559" s="67"/>
    </row>
    <row r="560" spans="1:33">
      <c r="A560" s="134"/>
      <c r="B560" s="153">
        <v>4</v>
      </c>
      <c r="C560" s="121" t="s">
        <v>987</v>
      </c>
      <c r="D560" s="121" t="s">
        <v>1051</v>
      </c>
      <c r="E560" s="209"/>
      <c r="F560" s="164">
        <v>2</v>
      </c>
      <c r="G560" s="164">
        <f>$D$20</f>
        <v>156</v>
      </c>
      <c r="H560" s="164">
        <f t="shared" si="598"/>
        <v>312</v>
      </c>
      <c r="I560" s="164">
        <f t="shared" si="589"/>
        <v>218400</v>
      </c>
      <c r="J560" s="164">
        <f t="shared" si="590"/>
        <v>686400</v>
      </c>
      <c r="K560" s="164">
        <f t="shared" si="591"/>
        <v>218400</v>
      </c>
      <c r="L560" s="227">
        <v>686400</v>
      </c>
      <c r="M560" s="111"/>
      <c r="N560" s="111"/>
      <c r="O560" s="111"/>
      <c r="P560" s="111"/>
      <c r="Q560" s="111"/>
      <c r="R560" s="111"/>
      <c r="S560" s="712"/>
      <c r="T560" s="169" t="s">
        <v>946</v>
      </c>
      <c r="U560" s="169" t="s">
        <v>946</v>
      </c>
      <c r="V560" s="121" t="s">
        <v>989</v>
      </c>
      <c r="W560" s="121" t="s">
        <v>789</v>
      </c>
      <c r="X560" s="170">
        <f t="shared" si="599"/>
        <v>156</v>
      </c>
      <c r="Y560" s="200">
        <f t="shared" si="592"/>
        <v>1400</v>
      </c>
      <c r="Z560" s="167">
        <f t="shared" si="593"/>
        <v>218400</v>
      </c>
      <c r="AA560" s="164">
        <f t="shared" si="600"/>
        <v>78624</v>
      </c>
      <c r="AB560" s="200">
        <f t="shared" si="594"/>
        <v>8.7301587301587293</v>
      </c>
      <c r="AC560" s="167">
        <f t="shared" si="595"/>
        <v>686399.99999999988</v>
      </c>
      <c r="AD560" s="164">
        <f t="shared" si="601"/>
        <v>78624</v>
      </c>
      <c r="AE560" s="200">
        <f t="shared" si="596"/>
        <v>2.7777777777777777</v>
      </c>
      <c r="AF560" s="167">
        <f t="shared" si="597"/>
        <v>218400</v>
      </c>
      <c r="AG560" s="67"/>
    </row>
    <row r="561" spans="1:33">
      <c r="A561" s="134"/>
      <c r="B561" s="153">
        <v>5</v>
      </c>
      <c r="C561" s="121" t="s">
        <v>1045</v>
      </c>
      <c r="D561" s="121"/>
      <c r="E561" s="153"/>
      <c r="F561" s="164"/>
      <c r="G561" s="164">
        <v>0.1</v>
      </c>
      <c r="H561" s="164">
        <f>SUM(H557:H560)*0.1</f>
        <v>118.23097408404732</v>
      </c>
      <c r="I561" s="164">
        <f t="shared" si="589"/>
        <v>82761.681858833123</v>
      </c>
      <c r="J561" s="164">
        <f t="shared" si="590"/>
        <v>260108.14298490409</v>
      </c>
      <c r="K561" s="164">
        <f t="shared" si="591"/>
        <v>82761.681858833123</v>
      </c>
      <c r="L561" s="227">
        <v>260108</v>
      </c>
      <c r="M561" s="111"/>
      <c r="N561" s="111"/>
      <c r="O561" s="111"/>
      <c r="P561" s="111"/>
      <c r="Q561" s="111"/>
      <c r="R561" s="111"/>
      <c r="S561" s="712"/>
      <c r="T561" s="169" t="s">
        <v>946</v>
      </c>
      <c r="U561" s="169" t="s">
        <v>946</v>
      </c>
      <c r="V561" s="121" t="s">
        <v>875</v>
      </c>
      <c r="W561" s="121" t="s">
        <v>961</v>
      </c>
      <c r="X561" s="170">
        <f>'Assumptions HR_AUN'!$D$4*3</f>
        <v>88211.039066799218</v>
      </c>
      <c r="Y561" s="200">
        <f t="shared" si="592"/>
        <v>0.93822363656957397</v>
      </c>
      <c r="Z561" s="167">
        <f t="shared" si="593"/>
        <v>82761.681858833123</v>
      </c>
      <c r="AA561" s="164">
        <f t="shared" ref="AA561:AA562" si="602">X561</f>
        <v>88211.039066799218</v>
      </c>
      <c r="AB561" s="200">
        <f t="shared" si="594"/>
        <v>2.9487028577900896</v>
      </c>
      <c r="AC561" s="167">
        <f t="shared" si="595"/>
        <v>260108.14298490409</v>
      </c>
      <c r="AD561" s="164">
        <f t="shared" ref="AD561:AD562" si="603">AA561</f>
        <v>88211.039066799218</v>
      </c>
      <c r="AE561" s="200">
        <f t="shared" si="596"/>
        <v>0.93822363656957397</v>
      </c>
      <c r="AF561" s="167">
        <f t="shared" si="597"/>
        <v>82761.681858833123</v>
      </c>
      <c r="AG561" s="67"/>
    </row>
    <row r="562" spans="1:33">
      <c r="A562" s="134"/>
      <c r="B562" s="153">
        <v>6</v>
      </c>
      <c r="C562" s="121" t="s">
        <v>1046</v>
      </c>
      <c r="D562" s="121"/>
      <c r="E562" s="153"/>
      <c r="F562" s="164"/>
      <c r="G562" s="164">
        <v>0.15</v>
      </c>
      <c r="H562" s="164">
        <f>SUM(H557:H560)*0.15</f>
        <v>177.34646112607095</v>
      </c>
      <c r="I562" s="164">
        <f t="shared" si="589"/>
        <v>124142.52278824967</v>
      </c>
      <c r="J562" s="164">
        <f t="shared" si="590"/>
        <v>390162.21447735612</v>
      </c>
      <c r="K562" s="164">
        <f t="shared" si="591"/>
        <v>124142.52278824967</v>
      </c>
      <c r="L562" s="227">
        <v>390162</v>
      </c>
      <c r="M562" s="111"/>
      <c r="N562" s="111"/>
      <c r="O562" s="111"/>
      <c r="P562" s="111"/>
      <c r="Q562" s="111"/>
      <c r="R562" s="111"/>
      <c r="S562" s="712"/>
      <c r="T562" s="169" t="s">
        <v>946</v>
      </c>
      <c r="U562" s="169" t="s">
        <v>946</v>
      </c>
      <c r="V562" s="121" t="s">
        <v>881</v>
      </c>
      <c r="W562" s="121" t="s">
        <v>964</v>
      </c>
      <c r="X562" s="170">
        <f>I562/4</f>
        <v>31035.630697062417</v>
      </c>
      <c r="Y562" s="200">
        <f t="shared" si="592"/>
        <v>4</v>
      </c>
      <c r="Z562" s="167">
        <f t="shared" si="593"/>
        <v>124142.52278824967</v>
      </c>
      <c r="AA562" s="164">
        <f t="shared" si="602"/>
        <v>31035.630697062417</v>
      </c>
      <c r="AB562" s="200">
        <f t="shared" si="594"/>
        <v>12.571428571428571</v>
      </c>
      <c r="AC562" s="167">
        <f t="shared" si="595"/>
        <v>390162.21447735612</v>
      </c>
      <c r="AD562" s="164">
        <f t="shared" si="603"/>
        <v>31035.630697062417</v>
      </c>
      <c r="AE562" s="200">
        <f t="shared" si="596"/>
        <v>4</v>
      </c>
      <c r="AF562" s="167">
        <f t="shared" si="597"/>
        <v>124142.52278824967</v>
      </c>
      <c r="AG562" s="67"/>
    </row>
    <row r="563" spans="1:33">
      <c r="A563" s="134"/>
      <c r="B563" s="212" t="s">
        <v>770</v>
      </c>
      <c r="C563" s="212"/>
      <c r="D563" s="212"/>
      <c r="E563" s="212"/>
      <c r="F563" s="212"/>
      <c r="G563" s="178"/>
      <c r="H563" s="178">
        <f t="shared" ref="H563:K563" si="604">SUM(H557:H562)</f>
        <v>1477.8871760505913</v>
      </c>
      <c r="I563" s="178">
        <f t="shared" si="604"/>
        <v>1034521.0232354139</v>
      </c>
      <c r="J563" s="178">
        <f t="shared" si="604"/>
        <v>3251351.7873113006</v>
      </c>
      <c r="K563" s="178">
        <f t="shared" si="604"/>
        <v>1034521.0232354139</v>
      </c>
      <c r="L563" s="231">
        <v>3251352</v>
      </c>
      <c r="M563" s="132"/>
      <c r="N563" s="111"/>
      <c r="O563" s="111"/>
      <c r="P563" s="111"/>
      <c r="Q563" s="111"/>
      <c r="R563" s="111"/>
      <c r="S563" s="712"/>
      <c r="T563" s="111"/>
      <c r="U563" s="111"/>
      <c r="V563" s="111"/>
      <c r="W563" s="111"/>
      <c r="X563" s="132"/>
      <c r="Y563" s="133"/>
      <c r="Z563" s="132"/>
      <c r="AA563" s="132"/>
      <c r="AB563" s="133"/>
      <c r="AC563" s="132"/>
      <c r="AD563" s="132"/>
      <c r="AE563" s="133"/>
      <c r="AF563" s="132"/>
      <c r="AG563" s="67"/>
    </row>
    <row r="564" spans="1:33">
      <c r="A564" s="9"/>
      <c r="B564" s="111"/>
      <c r="C564" s="111"/>
      <c r="D564" s="111"/>
      <c r="E564" s="111"/>
      <c r="F564" s="111"/>
      <c r="G564" s="111"/>
      <c r="H564" s="151"/>
      <c r="I564" s="132"/>
      <c r="J564" s="132"/>
      <c r="K564" s="132"/>
      <c r="L564" s="111"/>
      <c r="M564" s="111"/>
      <c r="N564" s="111"/>
      <c r="O564" s="111"/>
      <c r="P564" s="111"/>
      <c r="Q564" s="111"/>
      <c r="R564" s="111"/>
      <c r="S564" s="712"/>
      <c r="T564" s="111"/>
      <c r="U564" s="111"/>
      <c r="V564" s="111"/>
      <c r="W564" s="111"/>
      <c r="X564" s="111"/>
      <c r="Y564" s="111"/>
      <c r="Z564" s="111"/>
      <c r="AA564" s="111"/>
      <c r="AB564" s="111"/>
      <c r="AC564" s="111"/>
      <c r="AD564" s="111"/>
      <c r="AE564" s="111"/>
      <c r="AF564" s="111"/>
      <c r="AG564" s="67"/>
    </row>
    <row r="565" spans="1:33">
      <c r="A565" s="9"/>
      <c r="B565" s="111"/>
      <c r="C565" s="111"/>
      <c r="D565" s="111"/>
      <c r="E565" s="111"/>
      <c r="F565" s="111"/>
      <c r="G565" s="111"/>
      <c r="H565" s="151"/>
      <c r="I565" s="111"/>
      <c r="J565" s="111"/>
      <c r="K565" s="111"/>
      <c r="L565" s="111"/>
      <c r="M565" s="111"/>
      <c r="N565" s="111"/>
      <c r="O565" s="111"/>
      <c r="P565" s="111"/>
      <c r="Q565" s="111"/>
      <c r="R565" s="111"/>
      <c r="S565" s="712"/>
      <c r="T565" s="111"/>
      <c r="U565" s="111"/>
      <c r="V565" s="111"/>
      <c r="W565" s="111"/>
      <c r="X565" s="111"/>
      <c r="Y565" s="111"/>
      <c r="Z565" s="111"/>
      <c r="AA565" s="111"/>
      <c r="AB565" s="111"/>
      <c r="AC565" s="111"/>
      <c r="AD565" s="111"/>
      <c r="AE565" s="111"/>
      <c r="AF565" s="111"/>
      <c r="AG565" s="67"/>
    </row>
    <row r="566" spans="1:33">
      <c r="A566" s="9"/>
      <c r="B566" s="111"/>
      <c r="C566" s="111"/>
      <c r="D566" s="111"/>
      <c r="E566" s="111"/>
      <c r="F566" s="111"/>
      <c r="G566" s="111"/>
      <c r="H566" s="111"/>
      <c r="I566" s="67"/>
      <c r="J566" s="67"/>
      <c r="K566" s="67"/>
      <c r="L566" s="111"/>
      <c r="M566" s="111"/>
      <c r="N566" s="111"/>
      <c r="O566" s="111"/>
      <c r="P566" s="111"/>
      <c r="Q566" s="111"/>
      <c r="R566" s="111"/>
      <c r="S566" s="712"/>
      <c r="T566" s="111"/>
      <c r="U566" s="111"/>
      <c r="V566" s="111"/>
      <c r="W566" s="111"/>
      <c r="X566" s="132"/>
      <c r="Y566" s="133"/>
      <c r="Z566" s="132"/>
      <c r="AA566" s="132"/>
      <c r="AB566" s="133"/>
      <c r="AC566" s="132"/>
      <c r="AD566" s="132"/>
      <c r="AE566" s="133"/>
      <c r="AF566" s="132"/>
      <c r="AG566" s="67"/>
    </row>
    <row r="567" spans="1:33">
      <c r="A567" s="725">
        <v>31</v>
      </c>
      <c r="B567" s="726" t="e" vm="1">
        <f>'[2]AUN Budget'!$E$142</f>
        <v>#VALUE!</v>
      </c>
      <c r="C567" s="731"/>
      <c r="D567" s="731"/>
      <c r="E567" s="731"/>
      <c r="F567" s="731"/>
      <c r="G567" s="731"/>
      <c r="H567" s="731"/>
      <c r="I567" s="216">
        <v>400</v>
      </c>
      <c r="J567" s="216">
        <v>400</v>
      </c>
      <c r="K567" s="216">
        <v>400</v>
      </c>
      <c r="L567" s="111"/>
      <c r="M567" s="111"/>
      <c r="N567" s="111"/>
      <c r="O567" s="111"/>
      <c r="P567" s="111"/>
      <c r="Q567" s="111"/>
      <c r="R567" s="111"/>
      <c r="S567" s="712"/>
      <c r="T567" s="111"/>
      <c r="U567" s="111"/>
      <c r="V567" s="111"/>
      <c r="W567" s="111"/>
      <c r="X567" s="132"/>
      <c r="Y567" s="133"/>
      <c r="Z567" s="132"/>
      <c r="AA567" s="132"/>
      <c r="AB567" s="133"/>
      <c r="AC567" s="132"/>
      <c r="AD567" s="132"/>
      <c r="AE567" s="133"/>
      <c r="AF567" s="132"/>
      <c r="AG567" s="67"/>
    </row>
    <row r="568" spans="1:33">
      <c r="A568" s="157" t="s">
        <v>36</v>
      </c>
      <c r="B568" s="113" t="s">
        <v>755</v>
      </c>
      <c r="C568" s="113" t="s">
        <v>966</v>
      </c>
      <c r="D568" s="113" t="s">
        <v>967</v>
      </c>
      <c r="E568" s="113" t="s">
        <v>968</v>
      </c>
      <c r="F568" s="113" t="s">
        <v>969</v>
      </c>
      <c r="G568" s="113" t="s">
        <v>970</v>
      </c>
      <c r="H568" s="113" t="s">
        <v>971</v>
      </c>
      <c r="I568" s="113" t="s">
        <v>972</v>
      </c>
      <c r="J568" s="113" t="s">
        <v>973</v>
      </c>
      <c r="K568" s="113" t="s">
        <v>974</v>
      </c>
      <c r="L568" s="111"/>
      <c r="M568" s="111"/>
      <c r="N568" s="111"/>
      <c r="O568" s="111"/>
      <c r="P568" s="111"/>
      <c r="Q568" s="182"/>
      <c r="R568" s="182"/>
      <c r="S568" s="727"/>
      <c r="T568" s="159" t="s">
        <v>387</v>
      </c>
      <c r="U568" s="159" t="s">
        <v>388</v>
      </c>
      <c r="V568" s="159" t="s">
        <v>934</v>
      </c>
      <c r="W568" s="160" t="s">
        <v>935</v>
      </c>
      <c r="X568" s="161" t="s">
        <v>936</v>
      </c>
      <c r="Y568" s="162" t="s">
        <v>937</v>
      </c>
      <c r="Z568" s="161" t="s">
        <v>938</v>
      </c>
      <c r="AA568" s="161" t="s">
        <v>939</v>
      </c>
      <c r="AB568" s="162" t="s">
        <v>940</v>
      </c>
      <c r="AC568" s="161" t="s">
        <v>941</v>
      </c>
      <c r="AD568" s="161" t="s">
        <v>942</v>
      </c>
      <c r="AE568" s="162" t="s">
        <v>943</v>
      </c>
      <c r="AF568" s="161" t="s">
        <v>944</v>
      </c>
      <c r="AG568" s="67"/>
    </row>
    <row r="569" spans="1:33">
      <c r="A569" s="134"/>
      <c r="B569" s="153">
        <v>1</v>
      </c>
      <c r="C569" s="121" t="s">
        <v>978</v>
      </c>
      <c r="D569" s="121" t="s">
        <v>1245</v>
      </c>
      <c r="E569" s="209">
        <v>0.5</v>
      </c>
      <c r="F569" s="164">
        <v>10</v>
      </c>
      <c r="G569" s="164">
        <f>'Assumptions HR_AUN'!$F$8</f>
        <v>80.053187003968247</v>
      </c>
      <c r="H569" s="164">
        <f t="shared" ref="H569:H571" si="605">E569*F569*G569</f>
        <v>400.26593501984121</v>
      </c>
      <c r="I569" s="164">
        <f t="shared" ref="I569:K569" si="606">$H569*I$567</f>
        <v>160106.37400793648</v>
      </c>
      <c r="J569" s="164">
        <f t="shared" si="606"/>
        <v>160106.37400793648</v>
      </c>
      <c r="K569" s="164">
        <f t="shared" si="606"/>
        <v>160106.37400793648</v>
      </c>
      <c r="L569" s="111"/>
      <c r="M569" s="111"/>
      <c r="N569" s="111"/>
      <c r="O569" s="111"/>
      <c r="P569" s="111"/>
      <c r="Q569" s="111"/>
      <c r="R569" s="111"/>
      <c r="S569" s="712"/>
      <c r="T569" s="169" t="s">
        <v>946</v>
      </c>
      <c r="U569" s="169" t="s">
        <v>946</v>
      </c>
      <c r="V569" s="121" t="s">
        <v>977</v>
      </c>
      <c r="W569" s="121" t="s">
        <v>961</v>
      </c>
      <c r="X569" s="170">
        <f t="shared" ref="X569:X570" si="607">G569*$D$35*$D$36</f>
        <v>40346.806249999994</v>
      </c>
      <c r="Y569" s="200">
        <f t="shared" ref="Y569:Y577" si="608">I569/X569</f>
        <v>3.9682539682539679</v>
      </c>
      <c r="Z569" s="167">
        <f t="shared" ref="Z569:Z577" si="609">X569*Y569</f>
        <v>160106.37400793648</v>
      </c>
      <c r="AA569" s="164">
        <f t="shared" ref="AA569:AA577" si="610">X569</f>
        <v>40346.806249999994</v>
      </c>
      <c r="AB569" s="200">
        <f t="shared" ref="AB569:AB577" si="611">J569/AA569</f>
        <v>3.9682539682539679</v>
      </c>
      <c r="AC569" s="167">
        <f t="shared" ref="AC569:AC577" si="612">AA569*AB569</f>
        <v>160106.37400793648</v>
      </c>
      <c r="AD569" s="164">
        <f t="shared" ref="AD569:AD577" si="613">AA569</f>
        <v>40346.806249999994</v>
      </c>
      <c r="AE569" s="200">
        <f t="shared" ref="AE569:AE577" si="614">K569/AD569</f>
        <v>3.9682539682539679</v>
      </c>
      <c r="AF569" s="167">
        <f t="shared" ref="AF569:AF577" si="615">AD569*AE569</f>
        <v>160106.37400793648</v>
      </c>
      <c r="AG569" s="67"/>
    </row>
    <row r="570" spans="1:33">
      <c r="A570" s="134"/>
      <c r="B570" s="153">
        <v>2</v>
      </c>
      <c r="C570" s="121" t="s">
        <v>978</v>
      </c>
      <c r="D570" s="121" t="s">
        <v>1246</v>
      </c>
      <c r="E570" s="209">
        <v>0.5</v>
      </c>
      <c r="F570" s="164">
        <v>4</v>
      </c>
      <c r="G570" s="164">
        <f>'Assumptions HR_AUN'!$F$8</f>
        <v>80.053187003968247</v>
      </c>
      <c r="H570" s="164">
        <f t="shared" si="605"/>
        <v>160.10637400793649</v>
      </c>
      <c r="I570" s="164">
        <f t="shared" ref="I570:K570" si="616">$H570*I$567</f>
        <v>64042.549603174601</v>
      </c>
      <c r="J570" s="164">
        <f t="shared" si="616"/>
        <v>64042.549603174601</v>
      </c>
      <c r="K570" s="164">
        <f t="shared" si="616"/>
        <v>64042.549603174601</v>
      </c>
      <c r="L570" s="111"/>
      <c r="M570" s="111"/>
      <c r="N570" s="111"/>
      <c r="O570" s="111"/>
      <c r="P570" s="111"/>
      <c r="Q570" s="111"/>
      <c r="R570" s="111"/>
      <c r="S570" s="712"/>
      <c r="T570" s="169" t="s">
        <v>946</v>
      </c>
      <c r="U570" s="169" t="s">
        <v>946</v>
      </c>
      <c r="V570" s="121" t="s">
        <v>977</v>
      </c>
      <c r="W570" s="121" t="s">
        <v>961</v>
      </c>
      <c r="X570" s="170">
        <f t="shared" si="607"/>
        <v>40346.806249999994</v>
      </c>
      <c r="Y570" s="200">
        <f t="shared" si="608"/>
        <v>1.5873015873015874</v>
      </c>
      <c r="Z570" s="167">
        <f t="shared" si="609"/>
        <v>64042.549603174601</v>
      </c>
      <c r="AA570" s="164">
        <f t="shared" si="610"/>
        <v>40346.806249999994</v>
      </c>
      <c r="AB570" s="200">
        <f t="shared" si="611"/>
        <v>1.5873015873015874</v>
      </c>
      <c r="AC570" s="167">
        <f t="shared" si="612"/>
        <v>64042.549603174601</v>
      </c>
      <c r="AD570" s="164">
        <f t="shared" si="613"/>
        <v>40346.806249999994</v>
      </c>
      <c r="AE570" s="200">
        <f t="shared" si="614"/>
        <v>1.5873015873015874</v>
      </c>
      <c r="AF570" s="167">
        <f t="shared" si="615"/>
        <v>64042.549603174601</v>
      </c>
      <c r="AG570" s="67"/>
    </row>
    <row r="571" spans="1:33">
      <c r="A571" s="134"/>
      <c r="B571" s="153">
        <v>3</v>
      </c>
      <c r="C571" s="121" t="s">
        <v>978</v>
      </c>
      <c r="D571" s="121" t="s">
        <v>1098</v>
      </c>
      <c r="E571" s="209">
        <v>0.5</v>
      </c>
      <c r="F571" s="164">
        <v>2</v>
      </c>
      <c r="G571" s="164">
        <f>'Assumptions HR_AUN'!$F$4</f>
        <v>175.0219029103159</v>
      </c>
      <c r="H571" s="164">
        <f t="shared" si="605"/>
        <v>175.0219029103159</v>
      </c>
      <c r="I571" s="164">
        <f t="shared" ref="I571:K571" si="617">$H571*I$567</f>
        <v>70008.761164126365</v>
      </c>
      <c r="J571" s="164">
        <f t="shared" si="617"/>
        <v>70008.761164126365</v>
      </c>
      <c r="K571" s="164">
        <f t="shared" si="617"/>
        <v>70008.761164126365</v>
      </c>
      <c r="L571" s="111"/>
      <c r="M571" s="111"/>
      <c r="N571" s="111"/>
      <c r="O571" s="111"/>
      <c r="P571" s="111"/>
      <c r="Q571" s="111"/>
      <c r="R571" s="111"/>
      <c r="S571" s="712"/>
      <c r="T571" s="169" t="s">
        <v>946</v>
      </c>
      <c r="U571" s="169" t="s">
        <v>946</v>
      </c>
      <c r="V571" s="121" t="s">
        <v>848</v>
      </c>
      <c r="W571" s="164" t="s">
        <v>947</v>
      </c>
      <c r="X571" s="170">
        <f>G571*$D$35*$D$36/20</f>
        <v>4410.5519533399611</v>
      </c>
      <c r="Y571" s="200">
        <f t="shared" si="608"/>
        <v>15.873015873015873</v>
      </c>
      <c r="Z571" s="167">
        <f t="shared" si="609"/>
        <v>70008.761164126365</v>
      </c>
      <c r="AA571" s="164">
        <f t="shared" si="610"/>
        <v>4410.5519533399611</v>
      </c>
      <c r="AB571" s="200">
        <f t="shared" si="611"/>
        <v>15.873015873015873</v>
      </c>
      <c r="AC571" s="167">
        <f t="shared" si="612"/>
        <v>70008.761164126365</v>
      </c>
      <c r="AD571" s="164">
        <f t="shared" si="613"/>
        <v>4410.5519533399611</v>
      </c>
      <c r="AE571" s="200">
        <f t="shared" si="614"/>
        <v>15.873015873015873</v>
      </c>
      <c r="AF571" s="167">
        <f t="shared" si="615"/>
        <v>70008.761164126365</v>
      </c>
      <c r="AG571" s="67"/>
    </row>
    <row r="572" spans="1:33">
      <c r="A572" s="134"/>
      <c r="B572" s="153">
        <v>4</v>
      </c>
      <c r="C572" s="121" t="s">
        <v>987</v>
      </c>
      <c r="D572" s="121" t="s">
        <v>1051</v>
      </c>
      <c r="E572" s="209"/>
      <c r="F572" s="164">
        <v>2</v>
      </c>
      <c r="G572" s="164">
        <f>$D$20</f>
        <v>156</v>
      </c>
      <c r="H572" s="164">
        <f t="shared" ref="H572:H573" si="618">F572*G572</f>
        <v>312</v>
      </c>
      <c r="I572" s="164">
        <f t="shared" ref="I572:K572" si="619">$H572*I$567</f>
        <v>124800</v>
      </c>
      <c r="J572" s="164">
        <f t="shared" si="619"/>
        <v>124800</v>
      </c>
      <c r="K572" s="164">
        <f t="shared" si="619"/>
        <v>124800</v>
      </c>
      <c r="L572" s="111"/>
      <c r="M572" s="111"/>
      <c r="N572" s="111"/>
      <c r="O572" s="111"/>
      <c r="P572" s="111"/>
      <c r="Q572" s="111"/>
      <c r="R572" s="111"/>
      <c r="S572" s="712"/>
      <c r="T572" s="169" t="s">
        <v>946</v>
      </c>
      <c r="U572" s="169" t="s">
        <v>946</v>
      </c>
      <c r="V572" s="121" t="s">
        <v>989</v>
      </c>
      <c r="W572" s="121" t="s">
        <v>789</v>
      </c>
      <c r="X572" s="170">
        <f t="shared" ref="X572:X573" si="620">G572</f>
        <v>156</v>
      </c>
      <c r="Y572" s="200">
        <f t="shared" si="608"/>
        <v>800</v>
      </c>
      <c r="Z572" s="167">
        <f t="shared" si="609"/>
        <v>124800</v>
      </c>
      <c r="AA572" s="164">
        <f t="shared" si="610"/>
        <v>156</v>
      </c>
      <c r="AB572" s="200">
        <f t="shared" si="611"/>
        <v>800</v>
      </c>
      <c r="AC572" s="167">
        <f t="shared" si="612"/>
        <v>124800</v>
      </c>
      <c r="AD572" s="164">
        <f t="shared" si="613"/>
        <v>156</v>
      </c>
      <c r="AE572" s="200">
        <f t="shared" si="614"/>
        <v>800</v>
      </c>
      <c r="AF572" s="167">
        <f t="shared" si="615"/>
        <v>124800</v>
      </c>
      <c r="AG572" s="67"/>
    </row>
    <row r="573" spans="1:33">
      <c r="A573" s="134"/>
      <c r="B573" s="153">
        <v>5</v>
      </c>
      <c r="C573" s="121" t="s">
        <v>985</v>
      </c>
      <c r="D573" s="121" t="s">
        <v>1059</v>
      </c>
      <c r="E573" s="209"/>
      <c r="F573" s="164">
        <v>1</v>
      </c>
      <c r="G573" s="164">
        <f>$D$31</f>
        <v>798</v>
      </c>
      <c r="H573" s="164">
        <f t="shared" si="618"/>
        <v>798</v>
      </c>
      <c r="I573" s="164">
        <f t="shared" ref="I573:K573" si="621">$H573*I$567</f>
        <v>319200</v>
      </c>
      <c r="J573" s="164">
        <f t="shared" si="621"/>
        <v>319200</v>
      </c>
      <c r="K573" s="164">
        <f t="shared" si="621"/>
        <v>319200</v>
      </c>
      <c r="L573" s="111"/>
      <c r="M573" s="111"/>
      <c r="N573" s="111"/>
      <c r="O573" s="111"/>
      <c r="P573" s="111"/>
      <c r="Q573" s="111"/>
      <c r="R573" s="111"/>
      <c r="S573" s="712"/>
      <c r="T573" s="169" t="s">
        <v>946</v>
      </c>
      <c r="U573" s="169" t="s">
        <v>946</v>
      </c>
      <c r="V573" s="121" t="s">
        <v>957</v>
      </c>
      <c r="W573" s="121" t="s">
        <v>789</v>
      </c>
      <c r="X573" s="170">
        <f t="shared" si="620"/>
        <v>798</v>
      </c>
      <c r="Y573" s="200">
        <f t="shared" si="608"/>
        <v>400</v>
      </c>
      <c r="Z573" s="167">
        <f t="shared" si="609"/>
        <v>319200</v>
      </c>
      <c r="AA573" s="164">
        <f t="shared" si="610"/>
        <v>798</v>
      </c>
      <c r="AB573" s="200">
        <f t="shared" si="611"/>
        <v>400</v>
      </c>
      <c r="AC573" s="167">
        <f t="shared" si="612"/>
        <v>319200</v>
      </c>
      <c r="AD573" s="164">
        <f t="shared" si="613"/>
        <v>798</v>
      </c>
      <c r="AE573" s="200">
        <f t="shared" si="614"/>
        <v>400</v>
      </c>
      <c r="AF573" s="167">
        <f t="shared" si="615"/>
        <v>319200</v>
      </c>
      <c r="AG573" s="67"/>
    </row>
    <row r="574" spans="1:33">
      <c r="A574" s="134"/>
      <c r="B574" s="153">
        <v>6</v>
      </c>
      <c r="C574" s="121" t="s">
        <v>978</v>
      </c>
      <c r="D574" s="121" t="s">
        <v>1060</v>
      </c>
      <c r="E574" s="209">
        <v>1</v>
      </c>
      <c r="F574" s="164">
        <v>2</v>
      </c>
      <c r="G574" s="164">
        <f>'Assumptions HR_AUN'!$F$4</f>
        <v>175.0219029103159</v>
      </c>
      <c r="H574" s="164">
        <f t="shared" ref="H574:H575" si="622">E574*F574*G574</f>
        <v>350.0438058206318</v>
      </c>
      <c r="I574" s="164">
        <f t="shared" ref="I574:K574" si="623">$H574*I$567</f>
        <v>140017.52232825273</v>
      </c>
      <c r="J574" s="164">
        <f t="shared" si="623"/>
        <v>140017.52232825273</v>
      </c>
      <c r="K574" s="164">
        <f t="shared" si="623"/>
        <v>140017.52232825273</v>
      </c>
      <c r="L574" s="111"/>
      <c r="M574" s="111"/>
      <c r="N574" s="111"/>
      <c r="O574" s="111"/>
      <c r="P574" s="111"/>
      <c r="Q574" s="111"/>
      <c r="R574" s="111"/>
      <c r="S574" s="712"/>
      <c r="T574" s="169" t="s">
        <v>946</v>
      </c>
      <c r="U574" s="169" t="s">
        <v>946</v>
      </c>
      <c r="V574" s="121" t="s">
        <v>848</v>
      </c>
      <c r="W574" s="164" t="s">
        <v>947</v>
      </c>
      <c r="X574" s="170">
        <f>G574*$D$35*$D$36/20</f>
        <v>4410.5519533399611</v>
      </c>
      <c r="Y574" s="200">
        <f t="shared" si="608"/>
        <v>31.746031746031747</v>
      </c>
      <c r="Z574" s="167">
        <f t="shared" si="609"/>
        <v>140017.52232825273</v>
      </c>
      <c r="AA574" s="164">
        <f t="shared" si="610"/>
        <v>4410.5519533399611</v>
      </c>
      <c r="AB574" s="200">
        <f t="shared" si="611"/>
        <v>31.746031746031747</v>
      </c>
      <c r="AC574" s="167">
        <f t="shared" si="612"/>
        <v>140017.52232825273</v>
      </c>
      <c r="AD574" s="164">
        <f t="shared" si="613"/>
        <v>4410.5519533399611</v>
      </c>
      <c r="AE574" s="200">
        <f t="shared" si="614"/>
        <v>31.746031746031747</v>
      </c>
      <c r="AF574" s="167">
        <f t="shared" si="615"/>
        <v>140017.52232825273</v>
      </c>
      <c r="AG574" s="67"/>
    </row>
    <row r="575" spans="1:33">
      <c r="A575" s="134"/>
      <c r="B575" s="153">
        <v>7</v>
      </c>
      <c r="C575" s="121" t="s">
        <v>1052</v>
      </c>
      <c r="D575" s="121" t="s">
        <v>1247</v>
      </c>
      <c r="E575" s="209">
        <v>2.5</v>
      </c>
      <c r="F575" s="164">
        <v>1</v>
      </c>
      <c r="G575" s="164">
        <f>'Assumptions HR_AUN'!$F$8</f>
        <v>80.053187003968247</v>
      </c>
      <c r="H575" s="164">
        <f t="shared" si="622"/>
        <v>200.1329675099206</v>
      </c>
      <c r="I575" s="164">
        <f t="shared" ref="I575:K575" si="624">$H575*I$567</f>
        <v>80053.18700396824</v>
      </c>
      <c r="J575" s="164">
        <f t="shared" si="624"/>
        <v>80053.18700396824</v>
      </c>
      <c r="K575" s="164">
        <f t="shared" si="624"/>
        <v>80053.18700396824</v>
      </c>
      <c r="L575" s="111"/>
      <c r="M575" s="111"/>
      <c r="N575" s="111"/>
      <c r="O575" s="111"/>
      <c r="P575" s="111"/>
      <c r="Q575" s="111"/>
      <c r="R575" s="111"/>
      <c r="S575" s="712"/>
      <c r="T575" s="169" t="s">
        <v>946</v>
      </c>
      <c r="U575" s="169" t="s">
        <v>946</v>
      </c>
      <c r="V575" s="121" t="s">
        <v>991</v>
      </c>
      <c r="W575" s="121" t="s">
        <v>961</v>
      </c>
      <c r="X575" s="170">
        <f>G575*$D$35*$D$36</f>
        <v>40346.806249999994</v>
      </c>
      <c r="Y575" s="200">
        <f t="shared" si="608"/>
        <v>1.984126984126984</v>
      </c>
      <c r="Z575" s="167">
        <f t="shared" si="609"/>
        <v>80053.18700396824</v>
      </c>
      <c r="AA575" s="164">
        <f t="shared" si="610"/>
        <v>40346.806249999994</v>
      </c>
      <c r="AB575" s="200">
        <f t="shared" si="611"/>
        <v>1.984126984126984</v>
      </c>
      <c r="AC575" s="167">
        <f t="shared" si="612"/>
        <v>80053.18700396824</v>
      </c>
      <c r="AD575" s="164">
        <f t="shared" si="613"/>
        <v>40346.806249999994</v>
      </c>
      <c r="AE575" s="200">
        <f t="shared" si="614"/>
        <v>1.984126984126984</v>
      </c>
      <c r="AF575" s="167">
        <f t="shared" si="615"/>
        <v>80053.18700396824</v>
      </c>
      <c r="AG575" s="67"/>
    </row>
    <row r="576" spans="1:33">
      <c r="A576" s="134"/>
      <c r="B576" s="153">
        <v>8</v>
      </c>
      <c r="C576" s="121" t="s">
        <v>1001</v>
      </c>
      <c r="D576" s="121"/>
      <c r="E576" s="209"/>
      <c r="F576" s="164"/>
      <c r="G576" s="185">
        <f>$C$13</f>
        <v>0.1</v>
      </c>
      <c r="H576" s="164">
        <f>SUM(H569:H575)*G576</f>
        <v>239.55709852686459</v>
      </c>
      <c r="I576" s="164">
        <f t="shared" ref="I576:K576" si="625">$H576*I$567</f>
        <v>95822.83941074583</v>
      </c>
      <c r="J576" s="164">
        <f t="shared" si="625"/>
        <v>95822.83941074583</v>
      </c>
      <c r="K576" s="164">
        <f t="shared" si="625"/>
        <v>95822.83941074583</v>
      </c>
      <c r="L576" s="111"/>
      <c r="M576" s="111"/>
      <c r="N576" s="111"/>
      <c r="O576" s="111"/>
      <c r="P576" s="111"/>
      <c r="Q576" s="111"/>
      <c r="R576" s="111"/>
      <c r="S576" s="712"/>
      <c r="T576" s="169" t="s">
        <v>946</v>
      </c>
      <c r="U576" s="169" t="s">
        <v>946</v>
      </c>
      <c r="V576" s="121" t="s">
        <v>875</v>
      </c>
      <c r="W576" s="121" t="s">
        <v>961</v>
      </c>
      <c r="X576" s="170">
        <f>'Assumptions HR_AUN'!$D$4*3</f>
        <v>88211.039066799218</v>
      </c>
      <c r="Y576" s="200">
        <f t="shared" si="608"/>
        <v>1.0862907910900184</v>
      </c>
      <c r="Z576" s="167">
        <f t="shared" si="609"/>
        <v>95822.839410745844</v>
      </c>
      <c r="AA576" s="164">
        <f t="shared" si="610"/>
        <v>88211.039066799218</v>
      </c>
      <c r="AB576" s="200">
        <f t="shared" si="611"/>
        <v>1.0862907910900184</v>
      </c>
      <c r="AC576" s="167">
        <f t="shared" si="612"/>
        <v>95822.839410745844</v>
      </c>
      <c r="AD576" s="164">
        <f t="shared" si="613"/>
        <v>88211.039066799218</v>
      </c>
      <c r="AE576" s="200">
        <f t="shared" si="614"/>
        <v>1.0862907910900184</v>
      </c>
      <c r="AF576" s="167">
        <f t="shared" si="615"/>
        <v>95822.839410745844</v>
      </c>
      <c r="AG576" s="67"/>
    </row>
    <row r="577" spans="1:33">
      <c r="A577" s="134"/>
      <c r="B577" s="153">
        <v>9</v>
      </c>
      <c r="C577" s="121" t="s">
        <v>962</v>
      </c>
      <c r="D577" s="121"/>
      <c r="E577" s="121"/>
      <c r="F577" s="164"/>
      <c r="G577" s="185">
        <f>$C$14</f>
        <v>0.15</v>
      </c>
      <c r="H577" s="164">
        <f>SUM(H569:H575)*G577</f>
        <v>359.33564779029689</v>
      </c>
      <c r="I577" s="164">
        <f t="shared" ref="I577:K577" si="626">$H577*I$567</f>
        <v>143734.25911611874</v>
      </c>
      <c r="J577" s="164">
        <f t="shared" si="626"/>
        <v>143734.25911611874</v>
      </c>
      <c r="K577" s="164">
        <f t="shared" si="626"/>
        <v>143734.25911611874</v>
      </c>
      <c r="L577" s="111"/>
      <c r="M577" s="111"/>
      <c r="N577" s="111"/>
      <c r="O577" s="111"/>
      <c r="P577" s="111"/>
      <c r="Q577" s="111"/>
      <c r="R577" s="111"/>
      <c r="S577" s="712"/>
      <c r="T577" s="169" t="s">
        <v>946</v>
      </c>
      <c r="U577" s="169" t="s">
        <v>946</v>
      </c>
      <c r="V577" s="121" t="s">
        <v>881</v>
      </c>
      <c r="W577" s="121" t="s">
        <v>964</v>
      </c>
      <c r="X577" s="170">
        <f>I577/4</f>
        <v>35933.564779029686</v>
      </c>
      <c r="Y577" s="200">
        <f t="shared" si="608"/>
        <v>4</v>
      </c>
      <c r="Z577" s="167">
        <f t="shared" si="609"/>
        <v>143734.25911611874</v>
      </c>
      <c r="AA577" s="164">
        <f t="shared" si="610"/>
        <v>35933.564779029686</v>
      </c>
      <c r="AB577" s="200">
        <f t="shared" si="611"/>
        <v>4</v>
      </c>
      <c r="AC577" s="167">
        <f t="shared" si="612"/>
        <v>143734.25911611874</v>
      </c>
      <c r="AD577" s="164">
        <f t="shared" si="613"/>
        <v>35933.564779029686</v>
      </c>
      <c r="AE577" s="200">
        <f t="shared" si="614"/>
        <v>4</v>
      </c>
      <c r="AF577" s="167">
        <f t="shared" si="615"/>
        <v>143734.25911611874</v>
      </c>
      <c r="AG577" s="67"/>
    </row>
    <row r="578" spans="1:33">
      <c r="A578" s="134"/>
      <c r="B578" s="212" t="s">
        <v>770</v>
      </c>
      <c r="C578" s="212"/>
      <c r="D578" s="212"/>
      <c r="E578" s="212"/>
      <c r="F578" s="212"/>
      <c r="G578" s="178"/>
      <c r="H578" s="178">
        <f t="shared" ref="H578:K578" si="627">SUM(H569:H577)</f>
        <v>2994.4637315858072</v>
      </c>
      <c r="I578" s="178">
        <f t="shared" si="627"/>
        <v>1197785.492634323</v>
      </c>
      <c r="J578" s="178">
        <f t="shared" si="627"/>
        <v>1197785.492634323</v>
      </c>
      <c r="K578" s="178">
        <f t="shared" si="627"/>
        <v>1197785.492634323</v>
      </c>
      <c r="L578" s="111"/>
      <c r="M578" s="111"/>
      <c r="N578" s="111"/>
      <c r="O578" s="111"/>
      <c r="P578" s="111"/>
      <c r="Q578" s="111"/>
      <c r="R578" s="111"/>
      <c r="S578" s="712"/>
      <c r="T578" s="111"/>
      <c r="U578" s="111"/>
      <c r="V578" s="111"/>
      <c r="W578" s="111"/>
      <c r="X578" s="132"/>
      <c r="Y578" s="133"/>
      <c r="Z578" s="132"/>
      <c r="AA578" s="132"/>
      <c r="AB578" s="133"/>
      <c r="AC578" s="132"/>
      <c r="AD578" s="132"/>
      <c r="AE578" s="133"/>
      <c r="AF578" s="132"/>
      <c r="AG578" s="67"/>
    </row>
    <row r="579" spans="1:33">
      <c r="A579" s="9"/>
      <c r="B579" s="111"/>
      <c r="C579" s="111"/>
      <c r="D579" s="111"/>
      <c r="E579" s="111"/>
      <c r="F579" s="111"/>
      <c r="G579" s="111"/>
      <c r="H579" s="151">
        <f>H578/25.8305</f>
        <v>115.92743971606461</v>
      </c>
      <c r="I579" s="111"/>
      <c r="J579" s="111"/>
      <c r="K579" s="111"/>
      <c r="L579" s="111"/>
      <c r="M579" s="111"/>
      <c r="N579" s="111"/>
      <c r="O579" s="111"/>
      <c r="P579" s="111"/>
      <c r="Q579" s="111"/>
      <c r="R579" s="111"/>
      <c r="S579" s="712"/>
      <c r="T579" s="111"/>
      <c r="U579" s="111"/>
      <c r="V579" s="111"/>
      <c r="W579" s="111"/>
      <c r="X579" s="111"/>
      <c r="Y579" s="111"/>
      <c r="Z579" s="111"/>
      <c r="AA579" s="111"/>
      <c r="AB579" s="111"/>
      <c r="AC579" s="111"/>
      <c r="AD579" s="111"/>
      <c r="AE579" s="111"/>
      <c r="AF579" s="111"/>
      <c r="AG579" s="67"/>
    </row>
    <row r="580" spans="1:33">
      <c r="A580" s="9"/>
      <c r="B580" s="180"/>
      <c r="C580" s="111"/>
      <c r="D580" s="111"/>
      <c r="E580" s="111"/>
      <c r="F580" s="111"/>
      <c r="G580" s="111"/>
      <c r="H580" s="111"/>
      <c r="I580" s="180" t="s">
        <v>1248</v>
      </c>
      <c r="J580" s="111"/>
      <c r="K580" s="111"/>
      <c r="L580" s="111"/>
      <c r="M580" s="111"/>
      <c r="N580" s="111"/>
      <c r="O580" s="111"/>
      <c r="P580" s="111"/>
      <c r="Q580" s="111"/>
      <c r="R580" s="111"/>
      <c r="S580" s="712"/>
      <c r="T580" s="111"/>
      <c r="U580" s="111"/>
      <c r="V580" s="111"/>
      <c r="W580" s="111"/>
      <c r="X580" s="132"/>
      <c r="Y580" s="133"/>
      <c r="Z580" s="132"/>
      <c r="AA580" s="132"/>
      <c r="AB580" s="133"/>
      <c r="AC580" s="132"/>
      <c r="AD580" s="132"/>
      <c r="AE580" s="133"/>
      <c r="AF580" s="132"/>
      <c r="AG580" s="67"/>
    </row>
    <row r="581" spans="1:33">
      <c r="A581" s="725">
        <v>32</v>
      </c>
      <c r="B581" s="726" t="e" vm="1">
        <f>'[2]AUN Budget'!E165</f>
        <v>#VALUE!</v>
      </c>
      <c r="C581" s="731"/>
      <c r="D581" s="731"/>
      <c r="E581" s="731"/>
      <c r="F581" s="731"/>
      <c r="G581" s="731"/>
      <c r="H581" s="731"/>
      <c r="I581" s="232">
        <v>3300</v>
      </c>
      <c r="J581" s="169">
        <v>3300</v>
      </c>
      <c r="K581" s="169">
        <v>3300</v>
      </c>
      <c r="L581" s="111"/>
      <c r="M581" s="111"/>
      <c r="N581" s="111"/>
      <c r="O581" s="111"/>
      <c r="P581" s="111"/>
      <c r="Q581" s="111"/>
      <c r="R581" s="111"/>
      <c r="S581" s="712"/>
      <c r="T581" s="111"/>
      <c r="U581" s="111"/>
      <c r="V581" s="111"/>
      <c r="W581" s="111"/>
      <c r="X581" s="132" t="s">
        <v>1085</v>
      </c>
      <c r="Y581" s="133"/>
      <c r="Z581" s="132"/>
      <c r="AA581" s="132"/>
      <c r="AB581" s="133"/>
      <c r="AC581" s="132"/>
      <c r="AD581" s="132"/>
      <c r="AE581" s="133"/>
      <c r="AF581" s="132"/>
      <c r="AG581" s="67"/>
    </row>
    <row r="582" spans="1:33">
      <c r="A582" s="157" t="s">
        <v>1249</v>
      </c>
      <c r="B582" s="113" t="s">
        <v>755</v>
      </c>
      <c r="C582" s="113" t="s">
        <v>966</v>
      </c>
      <c r="D582" s="113" t="s">
        <v>967</v>
      </c>
      <c r="E582" s="113" t="s">
        <v>968</v>
      </c>
      <c r="F582" s="113" t="s">
        <v>969</v>
      </c>
      <c r="G582" s="113" t="s">
        <v>970</v>
      </c>
      <c r="H582" s="113" t="s">
        <v>971</v>
      </c>
      <c r="I582" s="113" t="s">
        <v>972</v>
      </c>
      <c r="J582" s="113" t="s">
        <v>973</v>
      </c>
      <c r="K582" s="113" t="s">
        <v>974</v>
      </c>
      <c r="L582" s="111"/>
      <c r="M582" s="111"/>
      <c r="N582" s="111"/>
      <c r="O582" s="111"/>
      <c r="P582" s="111"/>
      <c r="Q582" s="111"/>
      <c r="R582" s="111"/>
      <c r="S582" s="727"/>
      <c r="T582" s="159" t="s">
        <v>387</v>
      </c>
      <c r="U582" s="159" t="s">
        <v>388</v>
      </c>
      <c r="V582" s="159" t="s">
        <v>934</v>
      </c>
      <c r="W582" s="160" t="s">
        <v>935</v>
      </c>
      <c r="X582" s="161" t="s">
        <v>936</v>
      </c>
      <c r="Y582" s="162" t="s">
        <v>937</v>
      </c>
      <c r="Z582" s="161" t="s">
        <v>938</v>
      </c>
      <c r="AA582" s="161" t="s">
        <v>939</v>
      </c>
      <c r="AB582" s="162" t="s">
        <v>940</v>
      </c>
      <c r="AC582" s="161" t="s">
        <v>941</v>
      </c>
      <c r="AD582" s="161" t="s">
        <v>942</v>
      </c>
      <c r="AE582" s="162" t="s">
        <v>943</v>
      </c>
      <c r="AF582" s="161" t="s">
        <v>944</v>
      </c>
      <c r="AG582" s="67"/>
    </row>
    <row r="583" spans="1:33">
      <c r="A583" s="134"/>
      <c r="B583" s="153">
        <v>1</v>
      </c>
      <c r="C583" s="121" t="s">
        <v>1250</v>
      </c>
      <c r="D583" s="121" t="s">
        <v>1091</v>
      </c>
      <c r="E583" s="209">
        <v>0.6</v>
      </c>
      <c r="F583" s="164">
        <v>2</v>
      </c>
      <c r="G583" s="164">
        <f>'Assumptions HR_AUN'!$F$8</f>
        <v>80.053187003968247</v>
      </c>
      <c r="H583" s="164">
        <f t="shared" ref="H583:H584" si="628">E583*F583*G583</f>
        <v>96.063824404761888</v>
      </c>
      <c r="I583" s="164">
        <f t="shared" ref="I583:K583" si="629">$H583*I$581</f>
        <v>317010.6205357142</v>
      </c>
      <c r="J583" s="164">
        <f t="shared" si="629"/>
        <v>317010.6205357142</v>
      </c>
      <c r="K583" s="164">
        <f t="shared" si="629"/>
        <v>317010.6205357142</v>
      </c>
      <c r="L583" s="111"/>
      <c r="M583" s="111"/>
      <c r="N583" s="111"/>
      <c r="O583" s="111"/>
      <c r="P583" s="111"/>
      <c r="Q583" s="111"/>
      <c r="R583" s="111"/>
      <c r="S583" s="712"/>
      <c r="T583" s="121" t="s">
        <v>473</v>
      </c>
      <c r="U583" s="121" t="s">
        <v>1251</v>
      </c>
      <c r="V583" s="121" t="s">
        <v>977</v>
      </c>
      <c r="W583" s="121" t="s">
        <v>961</v>
      </c>
      <c r="X583" s="170">
        <f t="shared" ref="X583:X584" si="630">G583*$D$35*$D$36</f>
        <v>40346.806249999994</v>
      </c>
      <c r="Y583" s="200">
        <f t="shared" ref="Y583:Y595" si="631">I583/X583</f>
        <v>7.8571428571428559</v>
      </c>
      <c r="Z583" s="167">
        <f t="shared" ref="Z583:Z595" si="632">X583*Y583</f>
        <v>317010.6205357142</v>
      </c>
      <c r="AA583" s="164">
        <f t="shared" ref="AA583:AA584" si="633">G583*$D$35*$D$36</f>
        <v>40346.806249999994</v>
      </c>
      <c r="AB583" s="200">
        <f t="shared" ref="AB583:AB595" si="634">J583/AA583</f>
        <v>7.8571428571428559</v>
      </c>
      <c r="AC583" s="167">
        <f t="shared" ref="AC583:AC595" si="635">AA583*AB583</f>
        <v>317010.6205357142</v>
      </c>
      <c r="AD583" s="164">
        <f t="shared" ref="AD583:AD584" si="636">G583*$D$35*$D$36</f>
        <v>40346.806249999994</v>
      </c>
      <c r="AE583" s="200">
        <f t="shared" ref="AE583:AE595" si="637">K583/AD583</f>
        <v>7.8571428571428559</v>
      </c>
      <c r="AF583" s="167">
        <f t="shared" ref="AF583:AF595" si="638">AD583*AE583</f>
        <v>317010.6205357142</v>
      </c>
      <c r="AG583" s="67"/>
    </row>
    <row r="584" spans="1:33">
      <c r="A584" s="134"/>
      <c r="B584" s="153">
        <v>2</v>
      </c>
      <c r="C584" s="121" t="s">
        <v>1122</v>
      </c>
      <c r="D584" s="121" t="s">
        <v>1127</v>
      </c>
      <c r="E584" s="209">
        <v>0.2</v>
      </c>
      <c r="F584" s="164">
        <v>1</v>
      </c>
      <c r="G584" s="164">
        <f>'Assumptions HR_AUN'!$F$8</f>
        <v>80.053187003968247</v>
      </c>
      <c r="H584" s="164">
        <f t="shared" si="628"/>
        <v>16.010637400793652</v>
      </c>
      <c r="I584" s="164">
        <f t="shared" ref="I584:K584" si="639">$H584*I$581</f>
        <v>52835.103422619053</v>
      </c>
      <c r="J584" s="164">
        <f t="shared" si="639"/>
        <v>52835.103422619053</v>
      </c>
      <c r="K584" s="164">
        <f t="shared" si="639"/>
        <v>52835.103422619053</v>
      </c>
      <c r="L584" s="111"/>
      <c r="M584" s="111"/>
      <c r="N584" s="111"/>
      <c r="O584" s="111"/>
      <c r="P584" s="111"/>
      <c r="Q584" s="111"/>
      <c r="R584" s="111"/>
      <c r="S584" s="712"/>
      <c r="T584" s="121" t="s">
        <v>473</v>
      </c>
      <c r="U584" s="121" t="s">
        <v>1251</v>
      </c>
      <c r="V584" s="121" t="s">
        <v>977</v>
      </c>
      <c r="W584" s="121" t="s">
        <v>961</v>
      </c>
      <c r="X584" s="170">
        <f t="shared" si="630"/>
        <v>40346.806249999994</v>
      </c>
      <c r="Y584" s="200">
        <f t="shared" si="631"/>
        <v>1.3095238095238098</v>
      </c>
      <c r="Z584" s="167">
        <f t="shared" si="632"/>
        <v>52835.103422619046</v>
      </c>
      <c r="AA584" s="164">
        <f t="shared" si="633"/>
        <v>40346.806249999994</v>
      </c>
      <c r="AB584" s="200">
        <f t="shared" si="634"/>
        <v>1.3095238095238098</v>
      </c>
      <c r="AC584" s="167">
        <f t="shared" si="635"/>
        <v>52835.103422619046</v>
      </c>
      <c r="AD584" s="164">
        <f t="shared" si="636"/>
        <v>40346.806249999994</v>
      </c>
      <c r="AE584" s="200">
        <f t="shared" si="637"/>
        <v>1.3095238095238098</v>
      </c>
      <c r="AF584" s="167">
        <f t="shared" si="638"/>
        <v>52835.103422619046</v>
      </c>
      <c r="AG584" s="67"/>
    </row>
    <row r="585" spans="1:33">
      <c r="A585" s="134"/>
      <c r="B585" s="153">
        <v>3</v>
      </c>
      <c r="C585" s="121" t="s">
        <v>987</v>
      </c>
      <c r="D585" s="121" t="s">
        <v>901</v>
      </c>
      <c r="E585" s="209"/>
      <c r="F585" s="164">
        <v>1</v>
      </c>
      <c r="G585" s="164">
        <f>$D$22</f>
        <v>134</v>
      </c>
      <c r="H585" s="164">
        <f t="shared" ref="H585:H586" si="640">F585*G585</f>
        <v>134</v>
      </c>
      <c r="I585" s="164">
        <f t="shared" ref="I585:K585" si="641">$H585*I$581</f>
        <v>442200</v>
      </c>
      <c r="J585" s="164">
        <f t="shared" si="641"/>
        <v>442200</v>
      </c>
      <c r="K585" s="164">
        <f t="shared" si="641"/>
        <v>442200</v>
      </c>
      <c r="L585" s="111"/>
      <c r="M585" s="111"/>
      <c r="N585" s="111"/>
      <c r="O585" s="111"/>
      <c r="P585" s="111"/>
      <c r="Q585" s="111"/>
      <c r="R585" s="111"/>
      <c r="S585" s="712"/>
      <c r="T585" s="121" t="s">
        <v>473</v>
      </c>
      <c r="U585" s="121" t="s">
        <v>1251</v>
      </c>
      <c r="V585" s="121" t="s">
        <v>989</v>
      </c>
      <c r="W585" s="121" t="s">
        <v>789</v>
      </c>
      <c r="X585" s="170">
        <f t="shared" ref="X585:X586" si="642">$G$585</f>
        <v>134</v>
      </c>
      <c r="Y585" s="200">
        <f t="shared" si="631"/>
        <v>3300</v>
      </c>
      <c r="Z585" s="167">
        <f t="shared" si="632"/>
        <v>442200</v>
      </c>
      <c r="AA585" s="164">
        <f t="shared" ref="AA585:AA586" si="643">G585</f>
        <v>134</v>
      </c>
      <c r="AB585" s="200">
        <f t="shared" si="634"/>
        <v>3300</v>
      </c>
      <c r="AC585" s="167">
        <f t="shared" si="635"/>
        <v>442200</v>
      </c>
      <c r="AD585" s="164">
        <f t="shared" ref="AD585:AD586" si="644">G585</f>
        <v>134</v>
      </c>
      <c r="AE585" s="200">
        <f t="shared" si="637"/>
        <v>3300</v>
      </c>
      <c r="AF585" s="167">
        <f t="shared" si="638"/>
        <v>442200</v>
      </c>
      <c r="AG585" s="67"/>
    </row>
    <row r="586" spans="1:33">
      <c r="A586" s="134"/>
      <c r="B586" s="153">
        <v>4</v>
      </c>
      <c r="C586" s="121" t="s">
        <v>987</v>
      </c>
      <c r="D586" s="121" t="s">
        <v>1252</v>
      </c>
      <c r="E586" s="209"/>
      <c r="F586" s="164">
        <v>2</v>
      </c>
      <c r="G586" s="164">
        <f>$D$19</f>
        <v>244</v>
      </c>
      <c r="H586" s="164">
        <f t="shared" si="640"/>
        <v>488</v>
      </c>
      <c r="I586" s="164">
        <f t="shared" ref="I586:K586" si="645">$H586*I$581</f>
        <v>1610400</v>
      </c>
      <c r="J586" s="164">
        <f t="shared" si="645"/>
        <v>1610400</v>
      </c>
      <c r="K586" s="164">
        <f t="shared" si="645"/>
        <v>1610400</v>
      </c>
      <c r="L586" s="111"/>
      <c r="M586" s="111"/>
      <c r="N586" s="111"/>
      <c r="O586" s="111"/>
      <c r="P586" s="111"/>
      <c r="Q586" s="111"/>
      <c r="R586" s="111"/>
      <c r="S586" s="712"/>
      <c r="T586" s="121" t="s">
        <v>473</v>
      </c>
      <c r="U586" s="121" t="s">
        <v>1251</v>
      </c>
      <c r="V586" s="121" t="s">
        <v>989</v>
      </c>
      <c r="W586" s="121" t="s">
        <v>789</v>
      </c>
      <c r="X586" s="170">
        <f t="shared" si="642"/>
        <v>134</v>
      </c>
      <c r="Y586" s="200">
        <f t="shared" si="631"/>
        <v>12017.910447761195</v>
      </c>
      <c r="Z586" s="167">
        <f t="shared" si="632"/>
        <v>1610400</v>
      </c>
      <c r="AA586" s="164">
        <f t="shared" si="643"/>
        <v>244</v>
      </c>
      <c r="AB586" s="200">
        <f t="shared" si="634"/>
        <v>6600</v>
      </c>
      <c r="AC586" s="167">
        <f t="shared" si="635"/>
        <v>1610400</v>
      </c>
      <c r="AD586" s="164">
        <f t="shared" si="644"/>
        <v>244</v>
      </c>
      <c r="AE586" s="200">
        <f t="shared" si="637"/>
        <v>6600</v>
      </c>
      <c r="AF586" s="167">
        <f t="shared" si="638"/>
        <v>1610400</v>
      </c>
      <c r="AG586" s="67"/>
    </row>
    <row r="587" spans="1:33">
      <c r="A587" s="134"/>
      <c r="B587" s="153">
        <v>5</v>
      </c>
      <c r="C587" s="121" t="s">
        <v>1253</v>
      </c>
      <c r="D587" s="121" t="s">
        <v>1091</v>
      </c>
      <c r="E587" s="209">
        <v>1</v>
      </c>
      <c r="F587" s="164">
        <v>4</v>
      </c>
      <c r="G587" s="164">
        <f>'Assumptions HR_AUN'!$F$8</f>
        <v>80.053187003968247</v>
      </c>
      <c r="H587" s="164">
        <f t="shared" ref="H587:H593" si="646">E587*F587*G587</f>
        <v>320.21274801587299</v>
      </c>
      <c r="I587" s="164">
        <f t="shared" ref="I587:K587" si="647">$H587*I$581</f>
        <v>1056702.0684523808</v>
      </c>
      <c r="J587" s="164">
        <f t="shared" si="647"/>
        <v>1056702.0684523808</v>
      </c>
      <c r="K587" s="164">
        <f t="shared" si="647"/>
        <v>1056702.0684523808</v>
      </c>
      <c r="L587" s="111"/>
      <c r="M587" s="111"/>
      <c r="N587" s="111"/>
      <c r="O587" s="111"/>
      <c r="P587" s="111"/>
      <c r="Q587" s="111"/>
      <c r="R587" s="111"/>
      <c r="S587" s="712"/>
      <c r="T587" s="121" t="s">
        <v>473</v>
      </c>
      <c r="U587" s="121" t="s">
        <v>1251</v>
      </c>
      <c r="V587" s="121" t="s">
        <v>977</v>
      </c>
      <c r="W587" s="121" t="s">
        <v>961</v>
      </c>
      <c r="X587" s="170">
        <f t="shared" ref="X587:X593" si="648">G587*$D$35*$D$36</f>
        <v>40346.806249999994</v>
      </c>
      <c r="Y587" s="200">
        <f t="shared" si="631"/>
        <v>26.19047619047619</v>
      </c>
      <c r="Z587" s="167">
        <f t="shared" si="632"/>
        <v>1056702.0684523808</v>
      </c>
      <c r="AA587" s="164">
        <f t="shared" ref="AA587:AA593" si="649">G587*$D$35*$D$36</f>
        <v>40346.806249999994</v>
      </c>
      <c r="AB587" s="200">
        <f t="shared" si="634"/>
        <v>26.19047619047619</v>
      </c>
      <c r="AC587" s="167">
        <f t="shared" si="635"/>
        <v>1056702.0684523808</v>
      </c>
      <c r="AD587" s="164">
        <f t="shared" ref="AD587:AD593" si="650">G587*$D$35*$D$36</f>
        <v>40346.806249999994</v>
      </c>
      <c r="AE587" s="200">
        <f t="shared" si="637"/>
        <v>26.19047619047619</v>
      </c>
      <c r="AF587" s="167">
        <f t="shared" si="638"/>
        <v>1056702.0684523808</v>
      </c>
      <c r="AG587" s="67"/>
    </row>
    <row r="588" spans="1:33">
      <c r="A588" s="134"/>
      <c r="B588" s="153">
        <v>6</v>
      </c>
      <c r="C588" s="121" t="s">
        <v>1122</v>
      </c>
      <c r="D588" s="121" t="s">
        <v>1127</v>
      </c>
      <c r="E588" s="209">
        <v>0.2</v>
      </c>
      <c r="F588" s="164">
        <v>4</v>
      </c>
      <c r="G588" s="164">
        <f>'Assumptions HR_AUN'!$F$8</f>
        <v>80.053187003968247</v>
      </c>
      <c r="H588" s="164">
        <f t="shared" si="646"/>
        <v>64.042549603174606</v>
      </c>
      <c r="I588" s="164">
        <f t="shared" ref="I588:K588" si="651">$H588*I$581</f>
        <v>211340.41369047621</v>
      </c>
      <c r="J588" s="164">
        <f t="shared" si="651"/>
        <v>211340.41369047621</v>
      </c>
      <c r="K588" s="164">
        <f t="shared" si="651"/>
        <v>211340.41369047621</v>
      </c>
      <c r="L588" s="111"/>
      <c r="M588" s="111"/>
      <c r="N588" s="111"/>
      <c r="O588" s="111"/>
      <c r="P588" s="111"/>
      <c r="Q588" s="111"/>
      <c r="R588" s="111"/>
      <c r="S588" s="712"/>
      <c r="T588" s="121" t="s">
        <v>473</v>
      </c>
      <c r="U588" s="121" t="s">
        <v>1251</v>
      </c>
      <c r="V588" s="121" t="s">
        <v>977</v>
      </c>
      <c r="W588" s="121" t="s">
        <v>961</v>
      </c>
      <c r="X588" s="170">
        <f t="shared" si="648"/>
        <v>40346.806249999994</v>
      </c>
      <c r="Y588" s="200">
        <f t="shared" si="631"/>
        <v>5.238095238095239</v>
      </c>
      <c r="Z588" s="167">
        <f t="shared" si="632"/>
        <v>211340.41369047618</v>
      </c>
      <c r="AA588" s="164">
        <f t="shared" si="649"/>
        <v>40346.806249999994</v>
      </c>
      <c r="AB588" s="200">
        <f t="shared" si="634"/>
        <v>5.238095238095239</v>
      </c>
      <c r="AC588" s="167">
        <f t="shared" si="635"/>
        <v>211340.41369047618</v>
      </c>
      <c r="AD588" s="164">
        <f t="shared" si="650"/>
        <v>40346.806249999994</v>
      </c>
      <c r="AE588" s="200">
        <f t="shared" si="637"/>
        <v>5.238095238095239</v>
      </c>
      <c r="AF588" s="167">
        <f t="shared" si="638"/>
        <v>211340.41369047618</v>
      </c>
      <c r="AG588" s="67"/>
    </row>
    <row r="589" spans="1:33">
      <c r="A589" s="134"/>
      <c r="B589" s="153">
        <v>7</v>
      </c>
      <c r="C589" s="121" t="s">
        <v>1254</v>
      </c>
      <c r="D589" s="121" t="s">
        <v>1091</v>
      </c>
      <c r="E589" s="209">
        <v>0.5</v>
      </c>
      <c r="F589" s="164">
        <v>2</v>
      </c>
      <c r="G589" s="164">
        <f>'Assumptions HR_AUN'!$F$8</f>
        <v>80.053187003968247</v>
      </c>
      <c r="H589" s="164">
        <f t="shared" si="646"/>
        <v>80.053187003968247</v>
      </c>
      <c r="I589" s="164">
        <f t="shared" ref="I589:K589" si="652">$H589*I$581</f>
        <v>264175.51711309521</v>
      </c>
      <c r="J589" s="164">
        <f t="shared" si="652"/>
        <v>264175.51711309521</v>
      </c>
      <c r="K589" s="164">
        <f t="shared" si="652"/>
        <v>264175.51711309521</v>
      </c>
      <c r="L589" s="111"/>
      <c r="M589" s="111"/>
      <c r="N589" s="111"/>
      <c r="O589" s="111"/>
      <c r="P589" s="111"/>
      <c r="Q589" s="111"/>
      <c r="R589" s="111"/>
      <c r="S589" s="712"/>
      <c r="T589" s="121" t="s">
        <v>473</v>
      </c>
      <c r="U589" s="121" t="s">
        <v>1251</v>
      </c>
      <c r="V589" s="121" t="s">
        <v>977</v>
      </c>
      <c r="W589" s="121" t="s">
        <v>961</v>
      </c>
      <c r="X589" s="170">
        <f t="shared" si="648"/>
        <v>40346.806249999994</v>
      </c>
      <c r="Y589" s="200">
        <f t="shared" si="631"/>
        <v>6.5476190476190474</v>
      </c>
      <c r="Z589" s="167">
        <f t="shared" si="632"/>
        <v>264175.51711309521</v>
      </c>
      <c r="AA589" s="164">
        <f t="shared" si="649"/>
        <v>40346.806249999994</v>
      </c>
      <c r="AB589" s="200">
        <f t="shared" si="634"/>
        <v>6.5476190476190474</v>
      </c>
      <c r="AC589" s="167">
        <f t="shared" si="635"/>
        <v>264175.51711309521</v>
      </c>
      <c r="AD589" s="164">
        <f t="shared" si="650"/>
        <v>40346.806249999994</v>
      </c>
      <c r="AE589" s="200">
        <f t="shared" si="637"/>
        <v>6.5476190476190474</v>
      </c>
      <c r="AF589" s="167">
        <f t="shared" si="638"/>
        <v>264175.51711309521</v>
      </c>
      <c r="AG589" s="67"/>
    </row>
    <row r="590" spans="1:33">
      <c r="A590" s="134"/>
      <c r="B590" s="153">
        <v>8</v>
      </c>
      <c r="C590" s="121" t="s">
        <v>1122</v>
      </c>
      <c r="D590" s="121" t="s">
        <v>1127</v>
      </c>
      <c r="E590" s="209">
        <v>0.2</v>
      </c>
      <c r="F590" s="164">
        <v>2</v>
      </c>
      <c r="G590" s="164">
        <f>'Assumptions HR_AUN'!$F$8</f>
        <v>80.053187003968247</v>
      </c>
      <c r="H590" s="164">
        <f t="shared" si="646"/>
        <v>32.021274801587303</v>
      </c>
      <c r="I590" s="164">
        <f t="shared" ref="I590:K590" si="653">$H590*I$581</f>
        <v>105670.20684523811</v>
      </c>
      <c r="J590" s="164">
        <f t="shared" si="653"/>
        <v>105670.20684523811</v>
      </c>
      <c r="K590" s="164">
        <f t="shared" si="653"/>
        <v>105670.20684523811</v>
      </c>
      <c r="L590" s="111"/>
      <c r="M590" s="111"/>
      <c r="N590" s="111"/>
      <c r="O590" s="111"/>
      <c r="P590" s="111"/>
      <c r="Q590" s="111"/>
      <c r="R590" s="111"/>
      <c r="S590" s="712"/>
      <c r="T590" s="121" t="s">
        <v>473</v>
      </c>
      <c r="U590" s="121" t="s">
        <v>1251</v>
      </c>
      <c r="V590" s="121" t="s">
        <v>977</v>
      </c>
      <c r="W590" s="121" t="s">
        <v>961</v>
      </c>
      <c r="X590" s="170">
        <f t="shared" si="648"/>
        <v>40346.806249999994</v>
      </c>
      <c r="Y590" s="200">
        <f t="shared" si="631"/>
        <v>2.6190476190476195</v>
      </c>
      <c r="Z590" s="167">
        <f t="shared" si="632"/>
        <v>105670.20684523809</v>
      </c>
      <c r="AA590" s="164">
        <f t="shared" si="649"/>
        <v>40346.806249999994</v>
      </c>
      <c r="AB590" s="200">
        <f t="shared" si="634"/>
        <v>2.6190476190476195</v>
      </c>
      <c r="AC590" s="167">
        <f t="shared" si="635"/>
        <v>105670.20684523809</v>
      </c>
      <c r="AD590" s="164">
        <f t="shared" si="650"/>
        <v>40346.806249999994</v>
      </c>
      <c r="AE590" s="200">
        <f t="shared" si="637"/>
        <v>2.6190476190476195</v>
      </c>
      <c r="AF590" s="167">
        <f t="shared" si="638"/>
        <v>105670.20684523809</v>
      </c>
      <c r="AG590" s="67"/>
    </row>
    <row r="591" spans="1:33">
      <c r="A591" s="134"/>
      <c r="B591" s="153">
        <v>9</v>
      </c>
      <c r="C591" s="121" t="s">
        <v>1254</v>
      </c>
      <c r="D591" s="121" t="s">
        <v>1136</v>
      </c>
      <c r="E591" s="209">
        <v>0.3</v>
      </c>
      <c r="F591" s="164">
        <v>4</v>
      </c>
      <c r="G591" s="164">
        <f>'Assumptions HR_AUN'!$F$8</f>
        <v>80.053187003968247</v>
      </c>
      <c r="H591" s="164">
        <f t="shared" si="646"/>
        <v>96.063824404761888</v>
      </c>
      <c r="I591" s="164">
        <f t="shared" ref="I591:K591" si="654">$H591*I$581</f>
        <v>317010.6205357142</v>
      </c>
      <c r="J591" s="164">
        <f t="shared" si="654"/>
        <v>317010.6205357142</v>
      </c>
      <c r="K591" s="164">
        <f t="shared" si="654"/>
        <v>317010.6205357142</v>
      </c>
      <c r="L591" s="111"/>
      <c r="M591" s="111"/>
      <c r="N591" s="111"/>
      <c r="O591" s="111"/>
      <c r="P591" s="111"/>
      <c r="Q591" s="111"/>
      <c r="R591" s="111"/>
      <c r="S591" s="712"/>
      <c r="T591" s="121" t="s">
        <v>473</v>
      </c>
      <c r="U591" s="121" t="s">
        <v>1251</v>
      </c>
      <c r="V591" s="121" t="s">
        <v>977</v>
      </c>
      <c r="W591" s="121" t="s">
        <v>961</v>
      </c>
      <c r="X591" s="170">
        <f t="shared" si="648"/>
        <v>40346.806249999994</v>
      </c>
      <c r="Y591" s="200">
        <f t="shared" si="631"/>
        <v>7.8571428571428559</v>
      </c>
      <c r="Z591" s="167">
        <f t="shared" si="632"/>
        <v>317010.6205357142</v>
      </c>
      <c r="AA591" s="164">
        <f t="shared" si="649"/>
        <v>40346.806249999994</v>
      </c>
      <c r="AB591" s="200">
        <f t="shared" si="634"/>
        <v>7.8571428571428559</v>
      </c>
      <c r="AC591" s="167">
        <f t="shared" si="635"/>
        <v>317010.6205357142</v>
      </c>
      <c r="AD591" s="164">
        <f t="shared" si="650"/>
        <v>40346.806249999994</v>
      </c>
      <c r="AE591" s="200">
        <f t="shared" si="637"/>
        <v>7.8571428571428559</v>
      </c>
      <c r="AF591" s="167">
        <f t="shared" si="638"/>
        <v>317010.6205357142</v>
      </c>
      <c r="AG591" s="67"/>
    </row>
    <row r="592" spans="1:33">
      <c r="A592" s="134"/>
      <c r="B592" s="153">
        <v>10</v>
      </c>
      <c r="C592" s="121" t="s">
        <v>1255</v>
      </c>
      <c r="D592" s="121" t="s">
        <v>1091</v>
      </c>
      <c r="E592" s="209">
        <v>0.5</v>
      </c>
      <c r="F592" s="164">
        <v>2</v>
      </c>
      <c r="G592" s="164">
        <f>'Assumptions HR_AUN'!$F$8</f>
        <v>80.053187003968247</v>
      </c>
      <c r="H592" s="164">
        <f t="shared" si="646"/>
        <v>80.053187003968247</v>
      </c>
      <c r="I592" s="164">
        <f t="shared" ref="I592:K592" si="655">$H592*I$581</f>
        <v>264175.51711309521</v>
      </c>
      <c r="J592" s="164">
        <f t="shared" si="655"/>
        <v>264175.51711309521</v>
      </c>
      <c r="K592" s="164">
        <f t="shared" si="655"/>
        <v>264175.51711309521</v>
      </c>
      <c r="L592" s="111"/>
      <c r="M592" s="111"/>
      <c r="N592" s="111"/>
      <c r="O592" s="111"/>
      <c r="P592" s="111"/>
      <c r="Q592" s="111"/>
      <c r="R592" s="111"/>
      <c r="S592" s="712"/>
      <c r="T592" s="121" t="s">
        <v>473</v>
      </c>
      <c r="U592" s="121" t="s">
        <v>1251</v>
      </c>
      <c r="V592" s="121" t="s">
        <v>977</v>
      </c>
      <c r="W592" s="121" t="s">
        <v>961</v>
      </c>
      <c r="X592" s="170">
        <f t="shared" si="648"/>
        <v>40346.806249999994</v>
      </c>
      <c r="Y592" s="200">
        <f t="shared" si="631"/>
        <v>6.5476190476190474</v>
      </c>
      <c r="Z592" s="167">
        <f t="shared" si="632"/>
        <v>264175.51711309521</v>
      </c>
      <c r="AA592" s="164">
        <f t="shared" si="649"/>
        <v>40346.806249999994</v>
      </c>
      <c r="AB592" s="200">
        <f t="shared" si="634"/>
        <v>6.5476190476190474</v>
      </c>
      <c r="AC592" s="167">
        <f t="shared" si="635"/>
        <v>264175.51711309521</v>
      </c>
      <c r="AD592" s="164">
        <f t="shared" si="650"/>
        <v>40346.806249999994</v>
      </c>
      <c r="AE592" s="200">
        <f t="shared" si="637"/>
        <v>6.5476190476190474</v>
      </c>
      <c r="AF592" s="167">
        <f t="shared" si="638"/>
        <v>264175.51711309521</v>
      </c>
      <c r="AG592" s="67"/>
    </row>
    <row r="593" spans="1:33">
      <c r="A593" s="134"/>
      <c r="B593" s="153">
        <v>11</v>
      </c>
      <c r="C593" s="121" t="s">
        <v>1122</v>
      </c>
      <c r="D593" s="121" t="s">
        <v>1127</v>
      </c>
      <c r="E593" s="209">
        <v>0.1</v>
      </c>
      <c r="F593" s="164">
        <v>6</v>
      </c>
      <c r="G593" s="164">
        <f>'Assumptions HR_AUN'!$F$8</f>
        <v>80.053187003968247</v>
      </c>
      <c r="H593" s="164">
        <f t="shared" si="646"/>
        <v>48.031912202380958</v>
      </c>
      <c r="I593" s="164">
        <f t="shared" ref="I593:K593" si="656">$H593*I$581</f>
        <v>158505.31026785716</v>
      </c>
      <c r="J593" s="164">
        <f t="shared" si="656"/>
        <v>158505.31026785716</v>
      </c>
      <c r="K593" s="164">
        <f t="shared" si="656"/>
        <v>158505.31026785716</v>
      </c>
      <c r="L593" s="111"/>
      <c r="M593" s="111"/>
      <c r="N593" s="111"/>
      <c r="O593" s="111"/>
      <c r="P593" s="111"/>
      <c r="Q593" s="111"/>
      <c r="R593" s="111"/>
      <c r="S593" s="712"/>
      <c r="T593" s="121" t="s">
        <v>473</v>
      </c>
      <c r="U593" s="121" t="s">
        <v>1251</v>
      </c>
      <c r="V593" s="121" t="s">
        <v>977</v>
      </c>
      <c r="W593" s="121" t="s">
        <v>961</v>
      </c>
      <c r="X593" s="170">
        <f t="shared" si="648"/>
        <v>40346.806249999994</v>
      </c>
      <c r="Y593" s="200">
        <f t="shared" si="631"/>
        <v>3.9285714285714297</v>
      </c>
      <c r="Z593" s="167">
        <f t="shared" si="632"/>
        <v>158505.31026785716</v>
      </c>
      <c r="AA593" s="164">
        <f t="shared" si="649"/>
        <v>40346.806249999994</v>
      </c>
      <c r="AB593" s="200">
        <f t="shared" si="634"/>
        <v>3.9285714285714297</v>
      </c>
      <c r="AC593" s="167">
        <f t="shared" si="635"/>
        <v>158505.31026785716</v>
      </c>
      <c r="AD593" s="164">
        <f t="shared" si="650"/>
        <v>40346.806249999994</v>
      </c>
      <c r="AE593" s="200">
        <f t="shared" si="637"/>
        <v>3.9285714285714297</v>
      </c>
      <c r="AF593" s="167">
        <f t="shared" si="638"/>
        <v>158505.31026785716</v>
      </c>
      <c r="AG593" s="67"/>
    </row>
    <row r="594" spans="1:33">
      <c r="A594" s="134"/>
      <c r="B594" s="153">
        <v>12</v>
      </c>
      <c r="C594" s="121" t="s">
        <v>1001</v>
      </c>
      <c r="D594" s="121"/>
      <c r="E594" s="121"/>
      <c r="F594" s="164"/>
      <c r="G594" s="164"/>
      <c r="H594" s="164">
        <f>SUM(H583:H593)*10%</f>
        <v>145.45531448412697</v>
      </c>
      <c r="I594" s="164">
        <f t="shared" ref="I594:K594" si="657">$H594*I$581</f>
        <v>480002.53779761901</v>
      </c>
      <c r="J594" s="164">
        <f t="shared" si="657"/>
        <v>480002.53779761901</v>
      </c>
      <c r="K594" s="164">
        <f t="shared" si="657"/>
        <v>480002.53779761901</v>
      </c>
      <c r="L594" s="111"/>
      <c r="M594" s="111"/>
      <c r="N594" s="111"/>
      <c r="O594" s="111"/>
      <c r="P594" s="111"/>
      <c r="Q594" s="111"/>
      <c r="R594" s="111"/>
      <c r="S594" s="712"/>
      <c r="T594" s="121" t="s">
        <v>473</v>
      </c>
      <c r="U594" s="121" t="s">
        <v>1251</v>
      </c>
      <c r="V594" s="121" t="s">
        <v>875</v>
      </c>
      <c r="W594" s="121" t="s">
        <v>1133</v>
      </c>
      <c r="X594" s="170">
        <f>'Assumptions HR_AUN'!$D$4*3</f>
        <v>88211.039066799218</v>
      </c>
      <c r="Y594" s="200">
        <f t="shared" si="631"/>
        <v>5.4415245855354843</v>
      </c>
      <c r="Z594" s="167">
        <f t="shared" si="632"/>
        <v>480002.53779761901</v>
      </c>
      <c r="AA594" s="164">
        <f>X594</f>
        <v>88211.039066799218</v>
      </c>
      <c r="AB594" s="200">
        <f t="shared" si="634"/>
        <v>5.4415245855354843</v>
      </c>
      <c r="AC594" s="167">
        <f t="shared" si="635"/>
        <v>480002.53779761901</v>
      </c>
      <c r="AD594" s="164">
        <f>AA594</f>
        <v>88211.039066799218</v>
      </c>
      <c r="AE594" s="200">
        <f t="shared" si="637"/>
        <v>5.4415245855354843</v>
      </c>
      <c r="AF594" s="167">
        <f t="shared" si="638"/>
        <v>480002.53779761901</v>
      </c>
      <c r="AG594" s="67"/>
    </row>
    <row r="595" spans="1:33">
      <c r="A595" s="134"/>
      <c r="B595" s="153">
        <v>13</v>
      </c>
      <c r="C595" s="121" t="s">
        <v>962</v>
      </c>
      <c r="D595" s="121"/>
      <c r="E595" s="121"/>
      <c r="F595" s="164"/>
      <c r="G595" s="164"/>
      <c r="H595" s="164">
        <f>SUM(H583:H593)*15%</f>
        <v>218.18297172619043</v>
      </c>
      <c r="I595" s="164">
        <f t="shared" ref="I595:K595" si="658">$H595*I$581</f>
        <v>720003.80669642845</v>
      </c>
      <c r="J595" s="164">
        <f t="shared" si="658"/>
        <v>720003.80669642845</v>
      </c>
      <c r="K595" s="164">
        <f t="shared" si="658"/>
        <v>720003.80669642845</v>
      </c>
      <c r="L595" s="111"/>
      <c r="M595" s="111"/>
      <c r="N595" s="111"/>
      <c r="O595" s="111"/>
      <c r="P595" s="111"/>
      <c r="Q595" s="111"/>
      <c r="R595" s="111"/>
      <c r="S595" s="712"/>
      <c r="T595" s="121" t="s">
        <v>473</v>
      </c>
      <c r="U595" s="121" t="s">
        <v>1251</v>
      </c>
      <c r="V595" s="121" t="s">
        <v>881</v>
      </c>
      <c r="W595" s="121" t="s">
        <v>964</v>
      </c>
      <c r="X595" s="170">
        <f>I595/4</f>
        <v>180000.95167410711</v>
      </c>
      <c r="Y595" s="200">
        <f t="shared" si="631"/>
        <v>4</v>
      </c>
      <c r="Z595" s="167">
        <f t="shared" si="632"/>
        <v>720003.80669642845</v>
      </c>
      <c r="AA595" s="164">
        <f>J595/4</f>
        <v>180000.95167410711</v>
      </c>
      <c r="AB595" s="200">
        <f t="shared" si="634"/>
        <v>4</v>
      </c>
      <c r="AC595" s="167">
        <f t="shared" si="635"/>
        <v>720003.80669642845</v>
      </c>
      <c r="AD595" s="164">
        <f>K595/4</f>
        <v>180000.95167410711</v>
      </c>
      <c r="AE595" s="200">
        <f t="shared" si="637"/>
        <v>4</v>
      </c>
      <c r="AF595" s="167">
        <f t="shared" si="638"/>
        <v>720003.80669642845</v>
      </c>
      <c r="AG595" s="67"/>
    </row>
    <row r="596" spans="1:33">
      <c r="A596" s="134"/>
      <c r="B596" s="212" t="s">
        <v>770</v>
      </c>
      <c r="C596" s="212"/>
      <c r="D596" s="212"/>
      <c r="E596" s="212"/>
      <c r="F596" s="212"/>
      <c r="G596" s="178"/>
      <c r="H596" s="178">
        <f t="shared" ref="H596:K596" si="659">SUM(H583:H595)</f>
        <v>1818.1914310515872</v>
      </c>
      <c r="I596" s="178">
        <f t="shared" si="659"/>
        <v>6000031.7224702369</v>
      </c>
      <c r="J596" s="178">
        <f t="shared" si="659"/>
        <v>6000031.7224702369</v>
      </c>
      <c r="K596" s="178">
        <f t="shared" si="659"/>
        <v>6000031.7224702369</v>
      </c>
      <c r="L596" s="111"/>
      <c r="M596" s="111"/>
      <c r="N596" s="111"/>
      <c r="O596" s="111"/>
      <c r="P596" s="111"/>
      <c r="Q596" s="111"/>
      <c r="R596" s="111"/>
      <c r="S596" s="712"/>
      <c r="T596" s="151"/>
      <c r="U596" s="151"/>
      <c r="V596" s="111"/>
      <c r="W596" s="111"/>
      <c r="X596" s="132"/>
      <c r="Y596" s="111"/>
      <c r="Z596" s="111"/>
      <c r="AA596" s="111"/>
      <c r="AB596" s="111"/>
      <c r="AC596" s="111"/>
      <c r="AD596" s="111"/>
      <c r="AE596" s="111"/>
      <c r="AF596" s="111"/>
      <c r="AG596" s="67"/>
    </row>
    <row r="597" spans="1:33">
      <c r="A597" s="9"/>
      <c r="B597" s="111"/>
      <c r="C597" s="111"/>
      <c r="D597" s="111"/>
      <c r="E597" s="111"/>
      <c r="F597" s="111"/>
      <c r="G597" s="111"/>
      <c r="H597" s="111"/>
      <c r="I597" s="111"/>
      <c r="J597" s="111"/>
      <c r="K597" s="111"/>
      <c r="L597" s="111"/>
      <c r="M597" s="111"/>
      <c r="N597" s="111"/>
      <c r="O597" s="111"/>
      <c r="P597" s="111"/>
      <c r="Q597" s="111"/>
      <c r="R597" s="111"/>
      <c r="S597" s="712"/>
      <c r="T597" s="111"/>
      <c r="U597" s="111"/>
      <c r="V597" s="111"/>
      <c r="W597" s="111"/>
      <c r="X597" s="132"/>
      <c r="Y597" s="111"/>
      <c r="Z597" s="111"/>
      <c r="AA597" s="111"/>
      <c r="AB597" s="111"/>
      <c r="AC597" s="111"/>
      <c r="AD597" s="111"/>
      <c r="AE597" s="111"/>
      <c r="AF597" s="111"/>
      <c r="AG597" s="67"/>
    </row>
    <row r="598" spans="1:33">
      <c r="A598" s="9"/>
      <c r="B598" s="111"/>
      <c r="C598" s="111"/>
      <c r="D598" s="111"/>
      <c r="E598" s="111"/>
      <c r="F598" s="111"/>
      <c r="G598" s="111"/>
      <c r="H598" s="111"/>
      <c r="I598" s="111"/>
      <c r="J598" s="111"/>
      <c r="K598" s="111"/>
      <c r="L598" s="111"/>
      <c r="M598" s="111"/>
      <c r="N598" s="111"/>
      <c r="O598" s="111"/>
      <c r="P598" s="111"/>
      <c r="Q598" s="111"/>
      <c r="R598" s="111"/>
      <c r="S598" s="712"/>
      <c r="T598" s="111"/>
      <c r="U598" s="111"/>
      <c r="V598" s="111"/>
      <c r="W598" s="111"/>
      <c r="X598" s="132"/>
      <c r="Y598" s="111"/>
      <c r="Z598" s="111"/>
      <c r="AA598" s="111"/>
      <c r="AB598" s="111"/>
      <c r="AC598" s="111"/>
      <c r="AD598" s="111"/>
      <c r="AE598" s="111"/>
      <c r="AF598" s="111"/>
      <c r="AG598" s="67"/>
    </row>
    <row r="599" spans="1:33">
      <c r="A599" s="9"/>
      <c r="B599" s="180"/>
      <c r="C599" s="111"/>
      <c r="D599" s="111"/>
      <c r="E599" s="111"/>
      <c r="F599" s="111"/>
      <c r="G599" s="111"/>
      <c r="H599" s="111"/>
      <c r="I599" s="180" t="s">
        <v>1119</v>
      </c>
      <c r="J599" s="111"/>
      <c r="K599" s="111"/>
      <c r="L599" s="111"/>
      <c r="M599" s="111"/>
      <c r="N599" s="111"/>
      <c r="O599" s="111"/>
      <c r="P599" s="111"/>
      <c r="Q599" s="111"/>
      <c r="R599" s="111"/>
      <c r="S599" s="712"/>
      <c r="T599" s="111"/>
      <c r="U599" s="111"/>
      <c r="V599" s="111"/>
      <c r="W599" s="111"/>
      <c r="X599" s="132"/>
      <c r="Y599" s="133"/>
      <c r="Z599" s="132"/>
      <c r="AA599" s="132"/>
      <c r="AB599" s="133"/>
      <c r="AC599" s="132"/>
      <c r="AD599" s="132"/>
      <c r="AE599" s="133"/>
      <c r="AF599" s="132"/>
      <c r="AG599" s="67"/>
    </row>
    <row r="600" spans="1:33">
      <c r="A600" s="725">
        <v>33</v>
      </c>
      <c r="B600" s="726" t="e" vm="1">
        <f>'[2]AUN Budget'!$E$152</f>
        <v>#VALUE!</v>
      </c>
      <c r="C600" s="731"/>
      <c r="D600" s="731"/>
      <c r="E600" s="731"/>
      <c r="F600" s="731"/>
      <c r="G600" s="731"/>
      <c r="H600" s="731" t="s">
        <v>1120</v>
      </c>
      <c r="I600" s="232">
        <v>4800</v>
      </c>
      <c r="J600" s="169">
        <v>4900</v>
      </c>
      <c r="K600" s="169">
        <f>5000</f>
        <v>5000</v>
      </c>
      <c r="L600" s="111"/>
      <c r="M600" s="111"/>
      <c r="N600" s="111"/>
      <c r="O600" s="111"/>
      <c r="P600" s="111"/>
      <c r="Q600" s="111"/>
      <c r="R600" s="111"/>
      <c r="S600" s="712"/>
      <c r="T600" s="111"/>
      <c r="U600" s="111"/>
      <c r="V600" s="111"/>
      <c r="W600" s="111"/>
      <c r="X600" s="132" t="s">
        <v>1085</v>
      </c>
      <c r="Y600" s="133"/>
      <c r="Z600" s="132"/>
      <c r="AA600" s="132"/>
      <c r="AB600" s="133"/>
      <c r="AC600" s="132"/>
      <c r="AD600" s="132"/>
      <c r="AE600" s="133"/>
      <c r="AF600" s="132"/>
      <c r="AG600" s="67"/>
    </row>
    <row r="601" spans="1:33">
      <c r="A601" s="157" t="s">
        <v>1256</v>
      </c>
      <c r="B601" s="113" t="s">
        <v>755</v>
      </c>
      <c r="C601" s="113" t="s">
        <v>966</v>
      </c>
      <c r="D601" s="113" t="s">
        <v>967</v>
      </c>
      <c r="E601" s="113" t="s">
        <v>968</v>
      </c>
      <c r="F601" s="113" t="s">
        <v>969</v>
      </c>
      <c r="G601" s="113" t="s">
        <v>970</v>
      </c>
      <c r="H601" s="113" t="s">
        <v>971</v>
      </c>
      <c r="I601" s="113" t="s">
        <v>972</v>
      </c>
      <c r="J601" s="113" t="s">
        <v>973</v>
      </c>
      <c r="K601" s="113" t="s">
        <v>1257</v>
      </c>
      <c r="L601" s="111"/>
      <c r="M601" s="111"/>
      <c r="N601" s="111"/>
      <c r="O601" s="111"/>
      <c r="P601" s="111"/>
      <c r="Q601" s="111"/>
      <c r="R601" s="111"/>
      <c r="S601" s="727"/>
      <c r="T601" s="159" t="s">
        <v>387</v>
      </c>
      <c r="U601" s="159" t="s">
        <v>388</v>
      </c>
      <c r="V601" s="159" t="s">
        <v>934</v>
      </c>
      <c r="W601" s="160" t="s">
        <v>935</v>
      </c>
      <c r="X601" s="161" t="s">
        <v>936</v>
      </c>
      <c r="Y601" s="162" t="s">
        <v>937</v>
      </c>
      <c r="Z601" s="161" t="s">
        <v>938</v>
      </c>
      <c r="AA601" s="161" t="s">
        <v>939</v>
      </c>
      <c r="AB601" s="162" t="s">
        <v>940</v>
      </c>
      <c r="AC601" s="161" t="s">
        <v>941</v>
      </c>
      <c r="AD601" s="161" t="s">
        <v>942</v>
      </c>
      <c r="AE601" s="162" t="s">
        <v>943</v>
      </c>
      <c r="AF601" s="161" t="s">
        <v>944</v>
      </c>
      <c r="AG601" s="67"/>
    </row>
    <row r="602" spans="1:33">
      <c r="A602" s="134"/>
      <c r="B602" s="153">
        <v>1</v>
      </c>
      <c r="C602" s="121" t="s">
        <v>1250</v>
      </c>
      <c r="D602" s="121" t="s">
        <v>1091</v>
      </c>
      <c r="E602" s="209">
        <v>0.6</v>
      </c>
      <c r="F602" s="164">
        <v>2</v>
      </c>
      <c r="G602" s="164">
        <f>'Assumptions HR_AUN'!$F$8</f>
        <v>80.053187003968247</v>
      </c>
      <c r="H602" s="164">
        <f t="shared" ref="H602:H603" si="660">E602*F602*G602</f>
        <v>96.063824404761888</v>
      </c>
      <c r="I602" s="164">
        <f t="shared" ref="I602:K602" si="661">$H602*I$600</f>
        <v>461106.35714285704</v>
      </c>
      <c r="J602" s="164">
        <f t="shared" si="661"/>
        <v>470712.73958333326</v>
      </c>
      <c r="K602" s="164">
        <f t="shared" si="661"/>
        <v>480319.12202380947</v>
      </c>
      <c r="L602" s="111"/>
      <c r="M602" s="111"/>
      <c r="N602" s="111"/>
      <c r="O602" s="111"/>
      <c r="P602" s="111"/>
      <c r="Q602" s="111"/>
      <c r="R602" s="111"/>
      <c r="S602" s="712"/>
      <c r="T602" s="121" t="s">
        <v>473</v>
      </c>
      <c r="U602" s="121" t="s">
        <v>1251</v>
      </c>
      <c r="V602" s="121" t="s">
        <v>977</v>
      </c>
      <c r="W602" s="121" t="s">
        <v>961</v>
      </c>
      <c r="X602" s="170">
        <f t="shared" ref="X602:X603" si="662">G602*$D$35*$D$36</f>
        <v>40346.806249999994</v>
      </c>
      <c r="Y602" s="200">
        <f t="shared" ref="Y602:Y614" si="663">I602/X602</f>
        <v>11.428571428571427</v>
      </c>
      <c r="Z602" s="167">
        <f t="shared" ref="Z602:Z614" si="664">X602*Y602</f>
        <v>461106.35714285704</v>
      </c>
      <c r="AA602" s="164">
        <f t="shared" ref="AA602:AA603" si="665">G602*$D$35*$D$36</f>
        <v>40346.806249999994</v>
      </c>
      <c r="AB602" s="200">
        <f t="shared" ref="AB602:AB614" si="666">J602/AA602</f>
        <v>11.666666666666666</v>
      </c>
      <c r="AC602" s="167">
        <f t="shared" ref="AC602:AC614" si="667">AA602*AB602</f>
        <v>470712.73958333326</v>
      </c>
      <c r="AD602" s="164">
        <f t="shared" ref="AD602:AD603" si="668">G602*$D$35*$D$36</f>
        <v>40346.806249999994</v>
      </c>
      <c r="AE602" s="200">
        <f t="shared" ref="AE602:AE614" si="669">K602/AD602</f>
        <v>11.904761904761905</v>
      </c>
      <c r="AF602" s="167">
        <f t="shared" ref="AF602:AF614" si="670">AD602*AE602</f>
        <v>480319.12202380947</v>
      </c>
      <c r="AG602" s="67"/>
    </row>
    <row r="603" spans="1:33">
      <c r="A603" s="134"/>
      <c r="B603" s="153">
        <v>2</v>
      </c>
      <c r="C603" s="121" t="s">
        <v>978</v>
      </c>
      <c r="D603" s="121" t="s">
        <v>1258</v>
      </c>
      <c r="E603" s="209">
        <v>0.2</v>
      </c>
      <c r="F603" s="164">
        <v>1</v>
      </c>
      <c r="G603" s="164">
        <f>'Assumptions HR_AUN'!$F$8</f>
        <v>80.053187003968247</v>
      </c>
      <c r="H603" s="164">
        <f t="shared" si="660"/>
        <v>16.010637400793652</v>
      </c>
      <c r="I603" s="164">
        <f t="shared" ref="I603:K603" si="671">$H603*I$600</f>
        <v>76851.059523809527</v>
      </c>
      <c r="J603" s="164">
        <f t="shared" si="671"/>
        <v>78452.123263888891</v>
      </c>
      <c r="K603" s="164">
        <f t="shared" si="671"/>
        <v>80053.187003968254</v>
      </c>
      <c r="L603" s="111"/>
      <c r="M603" s="111"/>
      <c r="N603" s="111"/>
      <c r="O603" s="111"/>
      <c r="P603" s="111"/>
      <c r="Q603" s="111"/>
      <c r="R603" s="111"/>
      <c r="S603" s="712"/>
      <c r="T603" s="121" t="s">
        <v>473</v>
      </c>
      <c r="U603" s="121" t="s">
        <v>1251</v>
      </c>
      <c r="V603" s="121" t="s">
        <v>977</v>
      </c>
      <c r="W603" s="121" t="s">
        <v>961</v>
      </c>
      <c r="X603" s="170">
        <f t="shared" si="662"/>
        <v>40346.806249999994</v>
      </c>
      <c r="Y603" s="200">
        <f t="shared" si="663"/>
        <v>1.9047619047619051</v>
      </c>
      <c r="Z603" s="167">
        <f t="shared" si="664"/>
        <v>76851.059523809527</v>
      </c>
      <c r="AA603" s="164">
        <f t="shared" si="665"/>
        <v>40346.806249999994</v>
      </c>
      <c r="AB603" s="200">
        <f t="shared" si="666"/>
        <v>1.9444444444444449</v>
      </c>
      <c r="AC603" s="167">
        <f t="shared" si="667"/>
        <v>78452.123263888891</v>
      </c>
      <c r="AD603" s="164">
        <f t="shared" si="668"/>
        <v>40346.806249999994</v>
      </c>
      <c r="AE603" s="200">
        <f t="shared" si="669"/>
        <v>1.9841269841269844</v>
      </c>
      <c r="AF603" s="167">
        <f t="shared" si="670"/>
        <v>80053.187003968254</v>
      </c>
      <c r="AG603" s="67"/>
    </row>
    <row r="604" spans="1:33">
      <c r="A604" s="134"/>
      <c r="B604" s="153">
        <v>3</v>
      </c>
      <c r="C604" s="121" t="s">
        <v>987</v>
      </c>
      <c r="D604" s="121" t="s">
        <v>901</v>
      </c>
      <c r="E604" s="209"/>
      <c r="F604" s="164">
        <v>1</v>
      </c>
      <c r="G604" s="164">
        <f>$D$22</f>
        <v>134</v>
      </c>
      <c r="H604" s="164">
        <f t="shared" ref="H604:H605" si="672">F604*G604</f>
        <v>134</v>
      </c>
      <c r="I604" s="164">
        <f t="shared" ref="I604:K604" si="673">$H604*I$600</f>
        <v>643200</v>
      </c>
      <c r="J604" s="164">
        <f t="shared" si="673"/>
        <v>656600</v>
      </c>
      <c r="K604" s="164">
        <f t="shared" si="673"/>
        <v>670000</v>
      </c>
      <c r="L604" s="111"/>
      <c r="M604" s="111"/>
      <c r="N604" s="111"/>
      <c r="O604" s="111"/>
      <c r="P604" s="111"/>
      <c r="Q604" s="111"/>
      <c r="R604" s="111"/>
      <c r="S604" s="712"/>
      <c r="T604" s="121" t="s">
        <v>473</v>
      </c>
      <c r="U604" s="121" t="s">
        <v>1251</v>
      </c>
      <c r="V604" s="121" t="s">
        <v>989</v>
      </c>
      <c r="W604" s="121" t="s">
        <v>789</v>
      </c>
      <c r="X604" s="170">
        <f t="shared" ref="X604:X605" si="674">$G$604</f>
        <v>134</v>
      </c>
      <c r="Y604" s="200">
        <f t="shared" si="663"/>
        <v>4800</v>
      </c>
      <c r="Z604" s="167">
        <f t="shared" si="664"/>
        <v>643200</v>
      </c>
      <c r="AA604" s="164">
        <f t="shared" ref="AA604:AA605" si="675">G604</f>
        <v>134</v>
      </c>
      <c r="AB604" s="200">
        <f t="shared" si="666"/>
        <v>4900</v>
      </c>
      <c r="AC604" s="167">
        <f t="shared" si="667"/>
        <v>656600</v>
      </c>
      <c r="AD604" s="164">
        <f t="shared" ref="AD604:AD605" si="676">G604</f>
        <v>134</v>
      </c>
      <c r="AE604" s="200">
        <f t="shared" si="669"/>
        <v>5000</v>
      </c>
      <c r="AF604" s="167">
        <f t="shared" si="670"/>
        <v>670000</v>
      </c>
      <c r="AG604" s="67"/>
    </row>
    <row r="605" spans="1:33">
      <c r="A605" s="134"/>
      <c r="B605" s="153">
        <v>4</v>
      </c>
      <c r="C605" s="121" t="s">
        <v>987</v>
      </c>
      <c r="D605" s="121" t="s">
        <v>1259</v>
      </c>
      <c r="E605" s="209"/>
      <c r="F605" s="164">
        <v>2</v>
      </c>
      <c r="G605" s="164">
        <f>$D$19</f>
        <v>244</v>
      </c>
      <c r="H605" s="164">
        <f t="shared" si="672"/>
        <v>488</v>
      </c>
      <c r="I605" s="164">
        <f t="shared" ref="I605:K605" si="677">$H605*I$600</f>
        <v>2342400</v>
      </c>
      <c r="J605" s="164">
        <f t="shared" si="677"/>
        <v>2391200</v>
      </c>
      <c r="K605" s="164">
        <f t="shared" si="677"/>
        <v>2440000</v>
      </c>
      <c r="L605" s="111"/>
      <c r="M605" s="111"/>
      <c r="N605" s="111"/>
      <c r="O605" s="111"/>
      <c r="P605" s="111"/>
      <c r="Q605" s="111"/>
      <c r="R605" s="111"/>
      <c r="S605" s="712"/>
      <c r="T605" s="121" t="s">
        <v>473</v>
      </c>
      <c r="U605" s="121" t="s">
        <v>1251</v>
      </c>
      <c r="V605" s="121" t="s">
        <v>989</v>
      </c>
      <c r="W605" s="121" t="s">
        <v>789</v>
      </c>
      <c r="X605" s="170">
        <f t="shared" si="674"/>
        <v>134</v>
      </c>
      <c r="Y605" s="200">
        <f t="shared" si="663"/>
        <v>17480.597014925374</v>
      </c>
      <c r="Z605" s="167">
        <f t="shared" si="664"/>
        <v>2342400</v>
      </c>
      <c r="AA605" s="164">
        <f t="shared" si="675"/>
        <v>244</v>
      </c>
      <c r="AB605" s="200">
        <f t="shared" si="666"/>
        <v>9800</v>
      </c>
      <c r="AC605" s="167">
        <f t="shared" si="667"/>
        <v>2391200</v>
      </c>
      <c r="AD605" s="164">
        <f t="shared" si="676"/>
        <v>244</v>
      </c>
      <c r="AE605" s="200">
        <f t="shared" si="669"/>
        <v>10000</v>
      </c>
      <c r="AF605" s="167">
        <f t="shared" si="670"/>
        <v>2440000</v>
      </c>
      <c r="AG605" s="67"/>
    </row>
    <row r="606" spans="1:33">
      <c r="A606" s="134"/>
      <c r="B606" s="153">
        <v>5</v>
      </c>
      <c r="C606" s="121" t="s">
        <v>978</v>
      </c>
      <c r="D606" s="121" t="s">
        <v>1260</v>
      </c>
      <c r="E606" s="209">
        <v>1</v>
      </c>
      <c r="F606" s="164">
        <v>4</v>
      </c>
      <c r="G606" s="164">
        <f>'Assumptions HR_AUN'!$F$8</f>
        <v>80.053187003968247</v>
      </c>
      <c r="H606" s="164">
        <f t="shared" ref="H606:H612" si="678">E606*F606*G606</f>
        <v>320.21274801587299</v>
      </c>
      <c r="I606" s="164">
        <f t="shared" ref="I606:K606" si="679">$H606*I$600</f>
        <v>1537021.1904761903</v>
      </c>
      <c r="J606" s="164">
        <f t="shared" si="679"/>
        <v>1569042.4652777778</v>
      </c>
      <c r="K606" s="164">
        <f t="shared" si="679"/>
        <v>1601063.740079365</v>
      </c>
      <c r="L606" s="111"/>
      <c r="M606" s="111"/>
      <c r="N606" s="111"/>
      <c r="O606" s="111"/>
      <c r="P606" s="111"/>
      <c r="Q606" s="111"/>
      <c r="R606" s="111"/>
      <c r="S606" s="712"/>
      <c r="T606" s="121" t="s">
        <v>473</v>
      </c>
      <c r="U606" s="121" t="s">
        <v>1251</v>
      </c>
      <c r="V606" s="121" t="s">
        <v>977</v>
      </c>
      <c r="W606" s="121" t="s">
        <v>961</v>
      </c>
      <c r="X606" s="170">
        <f t="shared" ref="X606:X612" si="680">G606*$D$35*$D$36</f>
        <v>40346.806249999994</v>
      </c>
      <c r="Y606" s="200">
        <f t="shared" si="663"/>
        <v>38.095238095238095</v>
      </c>
      <c r="Z606" s="167">
        <f t="shared" si="664"/>
        <v>1537021.1904761903</v>
      </c>
      <c r="AA606" s="164">
        <f t="shared" ref="AA606:AA612" si="681">G606*$D$35*$D$36</f>
        <v>40346.806249999994</v>
      </c>
      <c r="AB606" s="200">
        <f t="shared" si="666"/>
        <v>38.888888888888893</v>
      </c>
      <c r="AC606" s="167">
        <f t="shared" si="667"/>
        <v>1569042.4652777778</v>
      </c>
      <c r="AD606" s="164">
        <f t="shared" ref="AD606:AD612" si="682">G606*$D$35*$D$36</f>
        <v>40346.806249999994</v>
      </c>
      <c r="AE606" s="200">
        <f t="shared" si="669"/>
        <v>39.682539682539684</v>
      </c>
      <c r="AF606" s="167">
        <f t="shared" si="670"/>
        <v>1601063.740079365</v>
      </c>
      <c r="AG606" s="67"/>
    </row>
    <row r="607" spans="1:33">
      <c r="A607" s="134"/>
      <c r="B607" s="153">
        <v>6</v>
      </c>
      <c r="C607" s="121" t="s">
        <v>1122</v>
      </c>
      <c r="D607" s="121" t="s">
        <v>1127</v>
      </c>
      <c r="E607" s="209">
        <v>0.2</v>
      </c>
      <c r="F607" s="164">
        <v>4</v>
      </c>
      <c r="G607" s="164">
        <f>'Assumptions HR_AUN'!$F$8</f>
        <v>80.053187003968247</v>
      </c>
      <c r="H607" s="164">
        <f t="shared" si="678"/>
        <v>64.042549603174606</v>
      </c>
      <c r="I607" s="164">
        <f t="shared" ref="I607:K607" si="683">$H607*I$600</f>
        <v>307404.23809523811</v>
      </c>
      <c r="J607" s="164">
        <f t="shared" si="683"/>
        <v>313808.49305555556</v>
      </c>
      <c r="K607" s="164">
        <f t="shared" si="683"/>
        <v>320212.74801587302</v>
      </c>
      <c r="L607" s="111"/>
      <c r="M607" s="111"/>
      <c r="N607" s="111"/>
      <c r="O607" s="111"/>
      <c r="P607" s="111"/>
      <c r="Q607" s="111"/>
      <c r="R607" s="111"/>
      <c r="S607" s="712"/>
      <c r="T607" s="121" t="s">
        <v>473</v>
      </c>
      <c r="U607" s="121" t="s">
        <v>1251</v>
      </c>
      <c r="V607" s="121" t="s">
        <v>977</v>
      </c>
      <c r="W607" s="121" t="s">
        <v>961</v>
      </c>
      <c r="X607" s="170">
        <f t="shared" si="680"/>
        <v>40346.806249999994</v>
      </c>
      <c r="Y607" s="200">
        <f t="shared" si="663"/>
        <v>7.6190476190476204</v>
      </c>
      <c r="Z607" s="167">
        <f t="shared" si="664"/>
        <v>307404.23809523811</v>
      </c>
      <c r="AA607" s="164">
        <f t="shared" si="681"/>
        <v>40346.806249999994</v>
      </c>
      <c r="AB607" s="200">
        <f t="shared" si="666"/>
        <v>7.7777777777777795</v>
      </c>
      <c r="AC607" s="167">
        <f t="shared" si="667"/>
        <v>313808.49305555556</v>
      </c>
      <c r="AD607" s="164">
        <f t="shared" si="682"/>
        <v>40346.806249999994</v>
      </c>
      <c r="AE607" s="200">
        <f t="shared" si="669"/>
        <v>7.9365079365079376</v>
      </c>
      <c r="AF607" s="167">
        <f t="shared" si="670"/>
        <v>320212.74801587302</v>
      </c>
      <c r="AG607" s="67"/>
    </row>
    <row r="608" spans="1:33">
      <c r="A608" s="134"/>
      <c r="B608" s="153">
        <v>7</v>
      </c>
      <c r="C608" s="121" t="s">
        <v>1254</v>
      </c>
      <c r="D608" s="121" t="s">
        <v>1091</v>
      </c>
      <c r="E608" s="209">
        <v>0.5</v>
      </c>
      <c r="F608" s="164">
        <v>2</v>
      </c>
      <c r="G608" s="164">
        <f>'Assumptions HR_AUN'!$F$8</f>
        <v>80.053187003968247</v>
      </c>
      <c r="H608" s="164">
        <f t="shared" si="678"/>
        <v>80.053187003968247</v>
      </c>
      <c r="I608" s="164">
        <f t="shared" ref="I608:K608" si="684">$H608*I$600</f>
        <v>384255.29761904757</v>
      </c>
      <c r="J608" s="164">
        <f t="shared" si="684"/>
        <v>392260.61631944444</v>
      </c>
      <c r="K608" s="164">
        <f t="shared" si="684"/>
        <v>400265.93501984124</v>
      </c>
      <c r="L608" s="111"/>
      <c r="M608" s="111"/>
      <c r="N608" s="111"/>
      <c r="O608" s="111"/>
      <c r="P608" s="111"/>
      <c r="Q608" s="111"/>
      <c r="R608" s="111"/>
      <c r="S608" s="712"/>
      <c r="T608" s="121" t="s">
        <v>473</v>
      </c>
      <c r="U608" s="121" t="s">
        <v>1251</v>
      </c>
      <c r="V608" s="121" t="s">
        <v>977</v>
      </c>
      <c r="W608" s="121" t="s">
        <v>961</v>
      </c>
      <c r="X608" s="170">
        <f t="shared" si="680"/>
        <v>40346.806249999994</v>
      </c>
      <c r="Y608" s="200">
        <f t="shared" si="663"/>
        <v>9.5238095238095237</v>
      </c>
      <c r="Z608" s="167">
        <f t="shared" si="664"/>
        <v>384255.29761904757</v>
      </c>
      <c r="AA608" s="164">
        <f t="shared" si="681"/>
        <v>40346.806249999994</v>
      </c>
      <c r="AB608" s="200">
        <f t="shared" si="666"/>
        <v>9.7222222222222232</v>
      </c>
      <c r="AC608" s="167">
        <f t="shared" si="667"/>
        <v>392260.61631944444</v>
      </c>
      <c r="AD608" s="164">
        <f t="shared" si="682"/>
        <v>40346.806249999994</v>
      </c>
      <c r="AE608" s="200">
        <f t="shared" si="669"/>
        <v>9.9206349206349209</v>
      </c>
      <c r="AF608" s="167">
        <f t="shared" si="670"/>
        <v>400265.93501984124</v>
      </c>
      <c r="AG608" s="67"/>
    </row>
    <row r="609" spans="1:33">
      <c r="A609" s="134"/>
      <c r="B609" s="153">
        <v>8</v>
      </c>
      <c r="C609" s="121" t="s">
        <v>1122</v>
      </c>
      <c r="D609" s="121" t="s">
        <v>1127</v>
      </c>
      <c r="E609" s="209">
        <v>0.2</v>
      </c>
      <c r="F609" s="164">
        <v>2</v>
      </c>
      <c r="G609" s="164">
        <f>'Assumptions HR_AUN'!$F$8</f>
        <v>80.053187003968247</v>
      </c>
      <c r="H609" s="164">
        <f t="shared" si="678"/>
        <v>32.021274801587303</v>
      </c>
      <c r="I609" s="164">
        <f t="shared" ref="I609:K609" si="685">$H609*I$600</f>
        <v>153702.11904761905</v>
      </c>
      <c r="J609" s="164">
        <f t="shared" si="685"/>
        <v>156904.24652777778</v>
      </c>
      <c r="K609" s="164">
        <f t="shared" si="685"/>
        <v>160106.37400793651</v>
      </c>
      <c r="L609" s="111"/>
      <c r="M609" s="111"/>
      <c r="N609" s="111"/>
      <c r="O609" s="111"/>
      <c r="P609" s="111"/>
      <c r="Q609" s="111"/>
      <c r="R609" s="111"/>
      <c r="S609" s="712"/>
      <c r="T609" s="121" t="s">
        <v>473</v>
      </c>
      <c r="U609" s="121" t="s">
        <v>1251</v>
      </c>
      <c r="V609" s="121" t="s">
        <v>977</v>
      </c>
      <c r="W609" s="121" t="s">
        <v>961</v>
      </c>
      <c r="X609" s="170">
        <f t="shared" si="680"/>
        <v>40346.806249999994</v>
      </c>
      <c r="Y609" s="200">
        <f t="shared" si="663"/>
        <v>3.8095238095238102</v>
      </c>
      <c r="Z609" s="167">
        <f t="shared" si="664"/>
        <v>153702.11904761905</v>
      </c>
      <c r="AA609" s="164">
        <f t="shared" si="681"/>
        <v>40346.806249999994</v>
      </c>
      <c r="AB609" s="200">
        <f t="shared" si="666"/>
        <v>3.8888888888888897</v>
      </c>
      <c r="AC609" s="167">
        <f t="shared" si="667"/>
        <v>156904.24652777778</v>
      </c>
      <c r="AD609" s="164">
        <f t="shared" si="682"/>
        <v>40346.806249999994</v>
      </c>
      <c r="AE609" s="200">
        <f t="shared" si="669"/>
        <v>3.9682539682539688</v>
      </c>
      <c r="AF609" s="167">
        <f t="shared" si="670"/>
        <v>160106.37400793651</v>
      </c>
      <c r="AG609" s="67"/>
    </row>
    <row r="610" spans="1:33">
      <c r="A610" s="134"/>
      <c r="B610" s="153">
        <v>9</v>
      </c>
      <c r="C610" s="121" t="s">
        <v>1254</v>
      </c>
      <c r="D610" s="121" t="s">
        <v>1136</v>
      </c>
      <c r="E610" s="209">
        <v>0.3</v>
      </c>
      <c r="F610" s="164">
        <v>4</v>
      </c>
      <c r="G610" s="164">
        <f>'Assumptions HR_AUN'!$F$8</f>
        <v>80.053187003968247</v>
      </c>
      <c r="H610" s="164">
        <f t="shared" si="678"/>
        <v>96.063824404761888</v>
      </c>
      <c r="I610" s="164">
        <f t="shared" ref="I610:K610" si="686">$H610*I$600</f>
        <v>461106.35714285704</v>
      </c>
      <c r="J610" s="164">
        <f t="shared" si="686"/>
        <v>470712.73958333326</v>
      </c>
      <c r="K610" s="164">
        <f t="shared" si="686"/>
        <v>480319.12202380947</v>
      </c>
      <c r="L610" s="111"/>
      <c r="M610" s="111"/>
      <c r="N610" s="111"/>
      <c r="O610" s="111"/>
      <c r="P610" s="111"/>
      <c r="Q610" s="111"/>
      <c r="R610" s="111"/>
      <c r="S610" s="712"/>
      <c r="T610" s="121" t="s">
        <v>473</v>
      </c>
      <c r="U610" s="121" t="s">
        <v>1251</v>
      </c>
      <c r="V610" s="121" t="s">
        <v>977</v>
      </c>
      <c r="W610" s="121" t="s">
        <v>961</v>
      </c>
      <c r="X610" s="170">
        <f t="shared" si="680"/>
        <v>40346.806249999994</v>
      </c>
      <c r="Y610" s="200">
        <f t="shared" si="663"/>
        <v>11.428571428571427</v>
      </c>
      <c r="Z610" s="167">
        <f t="shared" si="664"/>
        <v>461106.35714285704</v>
      </c>
      <c r="AA610" s="164">
        <f t="shared" si="681"/>
        <v>40346.806249999994</v>
      </c>
      <c r="AB610" s="200">
        <f t="shared" si="666"/>
        <v>11.666666666666666</v>
      </c>
      <c r="AC610" s="167">
        <f t="shared" si="667"/>
        <v>470712.73958333326</v>
      </c>
      <c r="AD610" s="164">
        <f t="shared" si="682"/>
        <v>40346.806249999994</v>
      </c>
      <c r="AE610" s="200">
        <f t="shared" si="669"/>
        <v>11.904761904761905</v>
      </c>
      <c r="AF610" s="167">
        <f t="shared" si="670"/>
        <v>480319.12202380947</v>
      </c>
      <c r="AG610" s="67"/>
    </row>
    <row r="611" spans="1:33">
      <c r="A611" s="134"/>
      <c r="B611" s="153">
        <v>10</v>
      </c>
      <c r="C611" s="121" t="s">
        <v>1255</v>
      </c>
      <c r="D611" s="121" t="s">
        <v>1091</v>
      </c>
      <c r="E611" s="209">
        <v>0.5</v>
      </c>
      <c r="F611" s="164">
        <v>2</v>
      </c>
      <c r="G611" s="164">
        <f>'Assumptions HR_AUN'!$F$8</f>
        <v>80.053187003968247</v>
      </c>
      <c r="H611" s="164">
        <f t="shared" si="678"/>
        <v>80.053187003968247</v>
      </c>
      <c r="I611" s="164">
        <f t="shared" ref="I611:K611" si="687">$H611*I$600</f>
        <v>384255.29761904757</v>
      </c>
      <c r="J611" s="164">
        <f t="shared" si="687"/>
        <v>392260.61631944444</v>
      </c>
      <c r="K611" s="164">
        <f t="shared" si="687"/>
        <v>400265.93501984124</v>
      </c>
      <c r="L611" s="111"/>
      <c r="M611" s="111"/>
      <c r="N611" s="111"/>
      <c r="O611" s="111"/>
      <c r="P611" s="111"/>
      <c r="Q611" s="111"/>
      <c r="R611" s="111"/>
      <c r="S611" s="712"/>
      <c r="T611" s="121" t="s">
        <v>473</v>
      </c>
      <c r="U611" s="121" t="s">
        <v>1251</v>
      </c>
      <c r="V611" s="121" t="s">
        <v>977</v>
      </c>
      <c r="W611" s="121" t="s">
        <v>961</v>
      </c>
      <c r="X611" s="170">
        <f t="shared" si="680"/>
        <v>40346.806249999994</v>
      </c>
      <c r="Y611" s="200">
        <f t="shared" si="663"/>
        <v>9.5238095238095237</v>
      </c>
      <c r="Z611" s="167">
        <f t="shared" si="664"/>
        <v>384255.29761904757</v>
      </c>
      <c r="AA611" s="164">
        <f t="shared" si="681"/>
        <v>40346.806249999994</v>
      </c>
      <c r="AB611" s="200">
        <f t="shared" si="666"/>
        <v>9.7222222222222232</v>
      </c>
      <c r="AC611" s="167">
        <f t="shared" si="667"/>
        <v>392260.61631944444</v>
      </c>
      <c r="AD611" s="164">
        <f t="shared" si="682"/>
        <v>40346.806249999994</v>
      </c>
      <c r="AE611" s="200">
        <f t="shared" si="669"/>
        <v>9.9206349206349209</v>
      </c>
      <c r="AF611" s="167">
        <f t="shared" si="670"/>
        <v>400265.93501984124</v>
      </c>
      <c r="AG611" s="67"/>
    </row>
    <row r="612" spans="1:33">
      <c r="A612" s="134"/>
      <c r="B612" s="153">
        <v>11</v>
      </c>
      <c r="C612" s="121" t="s">
        <v>1122</v>
      </c>
      <c r="D612" s="121" t="s">
        <v>1127</v>
      </c>
      <c r="E612" s="209">
        <v>0.1</v>
      </c>
      <c r="F612" s="164">
        <v>6</v>
      </c>
      <c r="G612" s="164">
        <f>'Assumptions HR_AUN'!$F$8</f>
        <v>80.053187003968247</v>
      </c>
      <c r="H612" s="164">
        <f t="shared" si="678"/>
        <v>48.031912202380958</v>
      </c>
      <c r="I612" s="164">
        <f t="shared" ref="I612:K612" si="688">$H612*I$600</f>
        <v>230553.17857142861</v>
      </c>
      <c r="J612" s="164">
        <f t="shared" si="688"/>
        <v>235356.36979166669</v>
      </c>
      <c r="K612" s="164">
        <f t="shared" si="688"/>
        <v>240159.56101190479</v>
      </c>
      <c r="L612" s="111"/>
      <c r="M612" s="111"/>
      <c r="N612" s="111"/>
      <c r="O612" s="111"/>
      <c r="P612" s="111"/>
      <c r="Q612" s="111"/>
      <c r="R612" s="111"/>
      <c r="S612" s="712"/>
      <c r="T612" s="121" t="s">
        <v>473</v>
      </c>
      <c r="U612" s="121" t="s">
        <v>1251</v>
      </c>
      <c r="V612" s="121" t="s">
        <v>977</v>
      </c>
      <c r="W612" s="121" t="s">
        <v>961</v>
      </c>
      <c r="X612" s="170">
        <f t="shared" si="680"/>
        <v>40346.806249999994</v>
      </c>
      <c r="Y612" s="200">
        <f t="shared" si="663"/>
        <v>5.7142857142857162</v>
      </c>
      <c r="Z612" s="167">
        <f t="shared" si="664"/>
        <v>230553.17857142861</v>
      </c>
      <c r="AA612" s="164">
        <f t="shared" si="681"/>
        <v>40346.806249999994</v>
      </c>
      <c r="AB612" s="200">
        <f t="shared" si="666"/>
        <v>5.8333333333333348</v>
      </c>
      <c r="AC612" s="167">
        <f t="shared" si="667"/>
        <v>235356.36979166669</v>
      </c>
      <c r="AD612" s="164">
        <f t="shared" si="682"/>
        <v>40346.806249999994</v>
      </c>
      <c r="AE612" s="200">
        <f t="shared" si="669"/>
        <v>5.9523809523809543</v>
      </c>
      <c r="AF612" s="167">
        <f t="shared" si="670"/>
        <v>240159.56101190479</v>
      </c>
      <c r="AG612" s="67"/>
    </row>
    <row r="613" spans="1:33">
      <c r="A613" s="134"/>
      <c r="B613" s="153">
        <v>12</v>
      </c>
      <c r="C613" s="121" t="s">
        <v>1001</v>
      </c>
      <c r="D613" s="121"/>
      <c r="E613" s="209"/>
      <c r="F613" s="164"/>
      <c r="G613" s="164"/>
      <c r="H613" s="164">
        <f>SUM(H602:H612)*10%</f>
        <v>145.45531448412697</v>
      </c>
      <c r="I613" s="164">
        <f t="shared" ref="I613:K613" si="689">$H613*I$600</f>
        <v>698185.50952380942</v>
      </c>
      <c r="J613" s="164">
        <f t="shared" si="689"/>
        <v>712731.04097222211</v>
      </c>
      <c r="K613" s="164">
        <f t="shared" si="689"/>
        <v>727276.57242063491</v>
      </c>
      <c r="L613" s="111"/>
      <c r="M613" s="111"/>
      <c r="N613" s="111"/>
      <c r="O613" s="111"/>
      <c r="P613" s="111"/>
      <c r="Q613" s="111"/>
      <c r="R613" s="111"/>
      <c r="S613" s="712"/>
      <c r="T613" s="121" t="s">
        <v>473</v>
      </c>
      <c r="U613" s="121" t="s">
        <v>1251</v>
      </c>
      <c r="V613" s="121" t="s">
        <v>875</v>
      </c>
      <c r="W613" s="121" t="s">
        <v>1133</v>
      </c>
      <c r="X613" s="170">
        <f>'Assumptions HR_AUN'!$D$4*3</f>
        <v>88211.039066799218</v>
      </c>
      <c r="Y613" s="200">
        <f t="shared" si="663"/>
        <v>7.9149448516879763</v>
      </c>
      <c r="Z613" s="167">
        <f t="shared" si="664"/>
        <v>698185.50952380942</v>
      </c>
      <c r="AA613" s="164">
        <f>X613</f>
        <v>88211.039066799218</v>
      </c>
      <c r="AB613" s="200">
        <f t="shared" si="666"/>
        <v>8.0798395360981417</v>
      </c>
      <c r="AC613" s="167">
        <f t="shared" si="667"/>
        <v>712731.04097222199</v>
      </c>
      <c r="AD613" s="164">
        <f>AA613</f>
        <v>88211.039066799218</v>
      </c>
      <c r="AE613" s="200">
        <f t="shared" si="669"/>
        <v>8.2447342205083096</v>
      </c>
      <c r="AF613" s="167">
        <f t="shared" si="670"/>
        <v>727276.57242063491</v>
      </c>
      <c r="AG613" s="67"/>
    </row>
    <row r="614" spans="1:33">
      <c r="A614" s="134"/>
      <c r="B614" s="153">
        <v>13</v>
      </c>
      <c r="C614" s="121" t="s">
        <v>962</v>
      </c>
      <c r="D614" s="121"/>
      <c r="E614" s="121"/>
      <c r="F614" s="121"/>
      <c r="G614" s="164"/>
      <c r="H614" s="164">
        <f>SUM(H602:H612)*15%</f>
        <v>218.18297172619043</v>
      </c>
      <c r="I614" s="164">
        <f t="shared" ref="I614:K614" si="690">$H614*I$600</f>
        <v>1047278.264285714</v>
      </c>
      <c r="J614" s="164">
        <f t="shared" si="690"/>
        <v>1069096.5614583332</v>
      </c>
      <c r="K614" s="164">
        <f t="shared" si="690"/>
        <v>1090914.8586309522</v>
      </c>
      <c r="L614" s="111"/>
      <c r="M614" s="111"/>
      <c r="N614" s="111"/>
      <c r="O614" s="111"/>
      <c r="P614" s="111"/>
      <c r="Q614" s="111"/>
      <c r="R614" s="111"/>
      <c r="S614" s="712"/>
      <c r="T614" s="121" t="s">
        <v>473</v>
      </c>
      <c r="U614" s="121" t="s">
        <v>1251</v>
      </c>
      <c r="V614" s="121" t="s">
        <v>881</v>
      </c>
      <c r="W614" s="121" t="s">
        <v>964</v>
      </c>
      <c r="X614" s="170">
        <f>I614/4</f>
        <v>261819.5660714285</v>
      </c>
      <c r="Y614" s="200">
        <f t="shared" si="663"/>
        <v>4</v>
      </c>
      <c r="Z614" s="167">
        <f t="shared" si="664"/>
        <v>1047278.264285714</v>
      </c>
      <c r="AA614" s="164">
        <f>J614/4</f>
        <v>267274.14036458329</v>
      </c>
      <c r="AB614" s="200">
        <f t="shared" si="666"/>
        <v>4</v>
      </c>
      <c r="AC614" s="167">
        <f t="shared" si="667"/>
        <v>1069096.5614583332</v>
      </c>
      <c r="AD614" s="164">
        <f>K614/4</f>
        <v>272728.71465773805</v>
      </c>
      <c r="AE614" s="200">
        <f t="shared" si="669"/>
        <v>4</v>
      </c>
      <c r="AF614" s="167">
        <f t="shared" si="670"/>
        <v>1090914.8586309522</v>
      </c>
      <c r="AG614" s="67"/>
    </row>
    <row r="615" spans="1:33">
      <c r="A615" s="134"/>
      <c r="B615" s="212" t="s">
        <v>770</v>
      </c>
      <c r="C615" s="212"/>
      <c r="D615" s="212"/>
      <c r="E615" s="212"/>
      <c r="F615" s="212"/>
      <c r="G615" s="178"/>
      <c r="H615" s="178">
        <f t="shared" ref="H615:K615" si="691">SUM(H602:H614)</f>
        <v>1818.1914310515872</v>
      </c>
      <c r="I615" s="178">
        <f t="shared" si="691"/>
        <v>8727318.8690476175</v>
      </c>
      <c r="J615" s="178">
        <f t="shared" si="691"/>
        <v>8909138.0121527761</v>
      </c>
      <c r="K615" s="178">
        <f t="shared" si="691"/>
        <v>9090957.1552579366</v>
      </c>
      <c r="L615" s="111"/>
      <c r="M615" s="111"/>
      <c r="N615" s="111"/>
      <c r="O615" s="111"/>
      <c r="P615" s="111"/>
      <c r="Q615" s="111"/>
      <c r="R615" s="111"/>
      <c r="S615" s="712"/>
      <c r="T615" s="151"/>
      <c r="U615" s="151"/>
      <c r="V615" s="111"/>
      <c r="W615" s="111"/>
      <c r="X615" s="132"/>
      <c r="Y615" s="111"/>
      <c r="Z615" s="111"/>
      <c r="AA615" s="111"/>
      <c r="AB615" s="111"/>
      <c r="AC615" s="111"/>
      <c r="AD615" s="111"/>
      <c r="AE615" s="111"/>
      <c r="AF615" s="111"/>
      <c r="AG615" s="67"/>
    </row>
    <row r="616" spans="1:33">
      <c r="A616" s="9"/>
      <c r="B616" s="111"/>
      <c r="C616" s="111"/>
      <c r="D616" s="233"/>
      <c r="E616" s="111"/>
      <c r="F616" s="111"/>
      <c r="G616" s="111"/>
      <c r="H616" s="111"/>
      <c r="I616" s="111"/>
      <c r="J616" s="111"/>
      <c r="K616" s="111"/>
      <c r="L616" s="111"/>
      <c r="M616" s="111"/>
      <c r="N616" s="111"/>
      <c r="O616" s="111"/>
      <c r="P616" s="111"/>
      <c r="Q616" s="111"/>
      <c r="R616" s="111"/>
      <c r="S616" s="712"/>
      <c r="T616" s="111"/>
      <c r="U616" s="111"/>
      <c r="V616" s="111"/>
      <c r="W616" s="111"/>
      <c r="X616" s="132"/>
      <c r="Y616" s="111"/>
      <c r="Z616" s="111"/>
      <c r="AA616" s="111"/>
      <c r="AB616" s="111"/>
      <c r="AC616" s="111"/>
      <c r="AD616" s="111"/>
      <c r="AE616" s="111"/>
      <c r="AF616" s="111"/>
      <c r="AG616" s="67"/>
    </row>
    <row r="617" spans="1:33">
      <c r="A617" s="9"/>
      <c r="B617" s="111"/>
      <c r="C617" s="111"/>
      <c r="D617" s="111"/>
      <c r="E617" s="111"/>
      <c r="F617" s="111"/>
      <c r="G617" s="111"/>
      <c r="H617" s="111"/>
      <c r="I617" s="111"/>
      <c r="J617" s="111"/>
      <c r="K617" s="111"/>
      <c r="L617" s="111"/>
      <c r="M617" s="111"/>
      <c r="N617" s="111"/>
      <c r="O617" s="111"/>
      <c r="P617" s="111"/>
      <c r="Q617" s="111"/>
      <c r="R617" s="111"/>
      <c r="S617" s="712"/>
      <c r="T617" s="111"/>
      <c r="U617" s="111"/>
      <c r="V617" s="111"/>
      <c r="W617" s="111"/>
      <c r="X617" s="132"/>
      <c r="Y617" s="111"/>
      <c r="Z617" s="111"/>
      <c r="AA617" s="111"/>
      <c r="AB617" s="111"/>
      <c r="AC617" s="111"/>
      <c r="AD617" s="111"/>
      <c r="AE617" s="111"/>
      <c r="AF617" s="111"/>
      <c r="AG617" s="67"/>
    </row>
    <row r="618" spans="1:33">
      <c r="A618" s="9"/>
      <c r="B618" s="111"/>
      <c r="C618" s="111"/>
      <c r="D618" s="111"/>
      <c r="E618" s="111"/>
      <c r="F618" s="111"/>
      <c r="G618" s="111"/>
      <c r="H618" s="111"/>
      <c r="I618" s="180" t="s">
        <v>1119</v>
      </c>
      <c r="J618" s="111"/>
      <c r="K618" s="111"/>
      <c r="L618" s="111"/>
      <c r="M618" s="111"/>
      <c r="N618" s="111"/>
      <c r="O618" s="111"/>
      <c r="P618" s="111"/>
      <c r="Q618" s="111"/>
      <c r="R618" s="111"/>
      <c r="S618" s="712"/>
      <c r="T618" s="111"/>
      <c r="U618" s="111"/>
      <c r="V618" s="111"/>
      <c r="W618" s="111"/>
      <c r="X618" s="132"/>
      <c r="Y618" s="111"/>
      <c r="Z618" s="111"/>
      <c r="AA618" s="111"/>
      <c r="AB618" s="111"/>
      <c r="AC618" s="111"/>
      <c r="AD618" s="111"/>
      <c r="AE618" s="111"/>
      <c r="AF618" s="111"/>
      <c r="AG618" s="67"/>
    </row>
    <row r="619" spans="1:33">
      <c r="A619" s="725">
        <v>34</v>
      </c>
      <c r="B619" s="726" t="e" vm="1">
        <f>'[2]AUN Budget'!E173</f>
        <v>#VALUE!</v>
      </c>
      <c r="C619" s="731"/>
      <c r="D619" s="731"/>
      <c r="E619" s="731"/>
      <c r="F619" s="731"/>
      <c r="G619" s="731"/>
      <c r="H619" s="731"/>
      <c r="I619" s="216">
        <v>100</v>
      </c>
      <c r="J619" s="216">
        <v>100</v>
      </c>
      <c r="K619" s="216">
        <v>100</v>
      </c>
      <c r="L619" s="111"/>
      <c r="M619" s="111"/>
      <c r="N619" s="111"/>
      <c r="O619" s="111"/>
      <c r="P619" s="111"/>
      <c r="Q619" s="111"/>
      <c r="R619" s="111"/>
      <c r="S619" s="712"/>
      <c r="T619" s="111"/>
      <c r="U619" s="111"/>
      <c r="V619" s="111"/>
      <c r="W619" s="111"/>
      <c r="X619" s="132"/>
      <c r="Y619" s="133"/>
      <c r="Z619" s="132"/>
      <c r="AA619" s="132"/>
      <c r="AB619" s="133"/>
      <c r="AC619" s="132"/>
      <c r="AD619" s="132"/>
      <c r="AE619" s="133"/>
      <c r="AF619" s="132"/>
      <c r="AG619" s="67"/>
    </row>
    <row r="620" spans="1:33">
      <c r="A620" s="157" t="s">
        <v>1261</v>
      </c>
      <c r="B620" s="113" t="s">
        <v>755</v>
      </c>
      <c r="C620" s="113" t="s">
        <v>966</v>
      </c>
      <c r="D620" s="113" t="s">
        <v>967</v>
      </c>
      <c r="E620" s="113" t="s">
        <v>968</v>
      </c>
      <c r="F620" s="113" t="s">
        <v>969</v>
      </c>
      <c r="G620" s="113" t="s">
        <v>970</v>
      </c>
      <c r="H620" s="113" t="s">
        <v>971</v>
      </c>
      <c r="I620" s="113" t="s">
        <v>972</v>
      </c>
      <c r="J620" s="113" t="s">
        <v>973</v>
      </c>
      <c r="K620" s="113" t="s">
        <v>974</v>
      </c>
      <c r="L620" s="111"/>
      <c r="M620" s="111"/>
      <c r="N620" s="111"/>
      <c r="O620" s="111"/>
      <c r="P620" s="182"/>
      <c r="Q620" s="182"/>
      <c r="R620" s="182"/>
      <c r="S620" s="727"/>
      <c r="T620" s="159" t="s">
        <v>387</v>
      </c>
      <c r="U620" s="159" t="s">
        <v>388</v>
      </c>
      <c r="V620" s="159" t="s">
        <v>934</v>
      </c>
      <c r="W620" s="160" t="s">
        <v>935</v>
      </c>
      <c r="X620" s="161" t="s">
        <v>936</v>
      </c>
      <c r="Y620" s="162" t="s">
        <v>937</v>
      </c>
      <c r="Z620" s="161" t="s">
        <v>938</v>
      </c>
      <c r="AA620" s="161" t="s">
        <v>939</v>
      </c>
      <c r="AB620" s="162" t="s">
        <v>940</v>
      </c>
      <c r="AC620" s="161" t="s">
        <v>941</v>
      </c>
      <c r="AD620" s="161" t="s">
        <v>942</v>
      </c>
      <c r="AE620" s="162" t="s">
        <v>943</v>
      </c>
      <c r="AF620" s="161" t="s">
        <v>944</v>
      </c>
      <c r="AG620" s="67"/>
    </row>
    <row r="621" spans="1:33">
      <c r="A621" s="134"/>
      <c r="B621" s="153">
        <v>1</v>
      </c>
      <c r="C621" s="121" t="s">
        <v>978</v>
      </c>
      <c r="D621" s="121" t="s">
        <v>1170</v>
      </c>
      <c r="E621" s="209">
        <v>0.5</v>
      </c>
      <c r="F621" s="164">
        <v>12</v>
      </c>
      <c r="G621" s="164">
        <f>'Assumptions HR_AUN'!$F$8</f>
        <v>80.053187003968247</v>
      </c>
      <c r="H621" s="164">
        <f t="shared" ref="H621:H624" si="692">E621*F621*G621</f>
        <v>480.31912202380948</v>
      </c>
      <c r="I621" s="164">
        <f t="shared" ref="I621:K621" si="693">$H621*I$619</f>
        <v>48031.912202380947</v>
      </c>
      <c r="J621" s="164">
        <f t="shared" si="693"/>
        <v>48031.912202380947</v>
      </c>
      <c r="K621" s="164">
        <f t="shared" si="693"/>
        <v>48031.912202380947</v>
      </c>
      <c r="L621" s="111"/>
      <c r="M621" s="111"/>
      <c r="N621" s="111"/>
      <c r="O621" s="111"/>
      <c r="P621" s="111"/>
      <c r="Q621" s="111"/>
      <c r="R621" s="111"/>
      <c r="S621" s="712"/>
      <c r="T621" s="169" t="s">
        <v>946</v>
      </c>
      <c r="U621" s="169" t="s">
        <v>946</v>
      </c>
      <c r="V621" s="121" t="s">
        <v>977</v>
      </c>
      <c r="W621" s="121" t="s">
        <v>961</v>
      </c>
      <c r="X621" s="170">
        <f t="shared" ref="X621:X622" si="694">G621*$D$35*$D$36</f>
        <v>40346.806249999994</v>
      </c>
      <c r="Y621" s="200">
        <f t="shared" ref="Y621:Y632" si="695">I621/X621</f>
        <v>1.1904761904761905</v>
      </c>
      <c r="Z621" s="167">
        <f t="shared" ref="Z621:Z632" si="696">X621*Y621</f>
        <v>48031.912202380947</v>
      </c>
      <c r="AA621" s="164">
        <f t="shared" ref="AA621:AA631" si="697">X621</f>
        <v>40346.806249999994</v>
      </c>
      <c r="AB621" s="200">
        <f t="shared" ref="AB621:AB632" si="698">J621/AA621</f>
        <v>1.1904761904761905</v>
      </c>
      <c r="AC621" s="167">
        <f t="shared" ref="AC621:AC632" si="699">AA621*AB621</f>
        <v>48031.912202380947</v>
      </c>
      <c r="AD621" s="164">
        <f t="shared" ref="AD621:AD632" si="700">AA621</f>
        <v>40346.806249999994</v>
      </c>
      <c r="AE621" s="200">
        <f t="shared" ref="AE621:AE632" si="701">K621/AD621</f>
        <v>1.1904761904761905</v>
      </c>
      <c r="AF621" s="167">
        <f t="shared" ref="AF621:AF632" si="702">AD621*AE621</f>
        <v>48031.912202380947</v>
      </c>
      <c r="AG621" s="67"/>
    </row>
    <row r="622" spans="1:33">
      <c r="A622" s="134"/>
      <c r="B622" s="153">
        <v>2</v>
      </c>
      <c r="C622" s="121" t="s">
        <v>978</v>
      </c>
      <c r="D622" s="121" t="s">
        <v>1262</v>
      </c>
      <c r="E622" s="209">
        <v>0.5</v>
      </c>
      <c r="F622" s="164">
        <v>12</v>
      </c>
      <c r="G622" s="164">
        <f>'Assumptions HR_AUN'!$F$8</f>
        <v>80.053187003968247</v>
      </c>
      <c r="H622" s="164">
        <f t="shared" si="692"/>
        <v>480.31912202380948</v>
      </c>
      <c r="I622" s="164">
        <f t="shared" ref="I622:K622" si="703">$H622*I$619</f>
        <v>48031.912202380947</v>
      </c>
      <c r="J622" s="164">
        <f t="shared" si="703"/>
        <v>48031.912202380947</v>
      </c>
      <c r="K622" s="164">
        <f t="shared" si="703"/>
        <v>48031.912202380947</v>
      </c>
      <c r="L622" s="111"/>
      <c r="M622" s="111"/>
      <c r="N622" s="111"/>
      <c r="O622" s="111"/>
      <c r="P622" s="111"/>
      <c r="Q622" s="111"/>
      <c r="R622" s="111"/>
      <c r="S622" s="712"/>
      <c r="T622" s="169" t="s">
        <v>946</v>
      </c>
      <c r="U622" s="169" t="s">
        <v>946</v>
      </c>
      <c r="V622" s="121" t="s">
        <v>977</v>
      </c>
      <c r="W622" s="121" t="s">
        <v>961</v>
      </c>
      <c r="X622" s="170">
        <f t="shared" si="694"/>
        <v>40346.806249999994</v>
      </c>
      <c r="Y622" s="200">
        <f t="shared" si="695"/>
        <v>1.1904761904761905</v>
      </c>
      <c r="Z622" s="167">
        <f t="shared" si="696"/>
        <v>48031.912202380947</v>
      </c>
      <c r="AA622" s="164">
        <f t="shared" si="697"/>
        <v>40346.806249999994</v>
      </c>
      <c r="AB622" s="200">
        <f t="shared" si="698"/>
        <v>1.1904761904761905</v>
      </c>
      <c r="AC622" s="167">
        <f t="shared" si="699"/>
        <v>48031.912202380947</v>
      </c>
      <c r="AD622" s="164">
        <f t="shared" si="700"/>
        <v>40346.806249999994</v>
      </c>
      <c r="AE622" s="200">
        <f t="shared" si="701"/>
        <v>1.1904761904761905</v>
      </c>
      <c r="AF622" s="167">
        <f t="shared" si="702"/>
        <v>48031.912202380947</v>
      </c>
      <c r="AG622" s="67"/>
    </row>
    <row r="623" spans="1:33">
      <c r="A623" s="134"/>
      <c r="B623" s="153">
        <v>3</v>
      </c>
      <c r="C623" s="121" t="s">
        <v>978</v>
      </c>
      <c r="D623" s="121" t="s">
        <v>1172</v>
      </c>
      <c r="E623" s="209">
        <v>0.5</v>
      </c>
      <c r="F623" s="164">
        <v>12</v>
      </c>
      <c r="G623" s="164">
        <f>'Assumptions HR_AUN'!$F$4</f>
        <v>175.0219029103159</v>
      </c>
      <c r="H623" s="164">
        <f t="shared" si="692"/>
        <v>1050.1314174618954</v>
      </c>
      <c r="I623" s="164">
        <f t="shared" ref="I623:K623" si="704">$H623*I$619</f>
        <v>105013.14174618953</v>
      </c>
      <c r="J623" s="164">
        <f t="shared" si="704"/>
        <v>105013.14174618953</v>
      </c>
      <c r="K623" s="164">
        <f t="shared" si="704"/>
        <v>105013.14174618953</v>
      </c>
      <c r="L623" s="111"/>
      <c r="M623" s="111"/>
      <c r="N623" s="111"/>
      <c r="O623" s="111"/>
      <c r="P623" s="111"/>
      <c r="Q623" s="111"/>
      <c r="R623" s="111"/>
      <c r="S623" s="712"/>
      <c r="T623" s="169" t="s">
        <v>946</v>
      </c>
      <c r="U623" s="169" t="s">
        <v>946</v>
      </c>
      <c r="V623" s="121" t="s">
        <v>848</v>
      </c>
      <c r="W623" s="164" t="s">
        <v>947</v>
      </c>
      <c r="X623" s="170">
        <f>'Assumptions HR_AUN'!$F$4*'Assumptions Other_AUN'!$D$35*'Assumptions Other_AUN'!$D$36/20</f>
        <v>4410.5519533399611</v>
      </c>
      <c r="Y623" s="200">
        <f t="shared" si="695"/>
        <v>23.809523809523807</v>
      </c>
      <c r="Z623" s="167">
        <f t="shared" si="696"/>
        <v>105013.14174618953</v>
      </c>
      <c r="AA623" s="164">
        <f t="shared" si="697"/>
        <v>4410.5519533399611</v>
      </c>
      <c r="AB623" s="200">
        <f t="shared" si="698"/>
        <v>23.809523809523807</v>
      </c>
      <c r="AC623" s="167">
        <f t="shared" si="699"/>
        <v>105013.14174618953</v>
      </c>
      <c r="AD623" s="164">
        <f t="shared" si="700"/>
        <v>4410.5519533399611</v>
      </c>
      <c r="AE623" s="200">
        <f t="shared" si="701"/>
        <v>23.809523809523807</v>
      </c>
      <c r="AF623" s="167">
        <f t="shared" si="702"/>
        <v>105013.14174618953</v>
      </c>
      <c r="AG623" s="67"/>
    </row>
    <row r="624" spans="1:33">
      <c r="A624" s="134"/>
      <c r="B624" s="153">
        <v>4</v>
      </c>
      <c r="C624" s="121" t="s">
        <v>978</v>
      </c>
      <c r="D624" s="121" t="s">
        <v>1263</v>
      </c>
      <c r="E624" s="209">
        <v>1</v>
      </c>
      <c r="F624" s="164">
        <v>6</v>
      </c>
      <c r="G624" s="164">
        <f t="shared" ref="G624:G625" si="705">$D$34</f>
        <v>125</v>
      </c>
      <c r="H624" s="164">
        <f t="shared" si="692"/>
        <v>750</v>
      </c>
      <c r="I624" s="164">
        <f t="shared" ref="I624:K624" si="706">$H624*I$619</f>
        <v>75000</v>
      </c>
      <c r="J624" s="164">
        <f t="shared" si="706"/>
        <v>75000</v>
      </c>
      <c r="K624" s="164">
        <f t="shared" si="706"/>
        <v>75000</v>
      </c>
      <c r="L624" s="111"/>
      <c r="M624" s="111"/>
      <c r="N624" s="111"/>
      <c r="O624" s="111"/>
      <c r="P624" s="111"/>
      <c r="Q624" s="111"/>
      <c r="R624" s="111"/>
      <c r="S624" s="712"/>
      <c r="T624" s="169" t="s">
        <v>946</v>
      </c>
      <c r="U624" s="169" t="s">
        <v>946</v>
      </c>
      <c r="V624" s="121" t="s">
        <v>950</v>
      </c>
      <c r="W624" s="121" t="s">
        <v>951</v>
      </c>
      <c r="X624" s="170">
        <f t="shared" ref="X624:X626" si="707">G624</f>
        <v>125</v>
      </c>
      <c r="Y624" s="200">
        <f t="shared" si="695"/>
        <v>600</v>
      </c>
      <c r="Z624" s="167">
        <f t="shared" si="696"/>
        <v>75000</v>
      </c>
      <c r="AA624" s="164">
        <f t="shared" si="697"/>
        <v>125</v>
      </c>
      <c r="AB624" s="200">
        <f t="shared" si="698"/>
        <v>600</v>
      </c>
      <c r="AC624" s="167">
        <f t="shared" si="699"/>
        <v>75000</v>
      </c>
      <c r="AD624" s="164">
        <f t="shared" si="700"/>
        <v>125</v>
      </c>
      <c r="AE624" s="200">
        <f t="shared" si="701"/>
        <v>600</v>
      </c>
      <c r="AF624" s="167">
        <f t="shared" si="702"/>
        <v>75000</v>
      </c>
      <c r="AG624" s="67"/>
    </row>
    <row r="625" spans="1:33">
      <c r="A625" s="134"/>
      <c r="B625" s="153">
        <v>5</v>
      </c>
      <c r="C625" s="121" t="s">
        <v>978</v>
      </c>
      <c r="D625" s="121" t="s">
        <v>1264</v>
      </c>
      <c r="E625" s="209">
        <v>1</v>
      </c>
      <c r="F625" s="164">
        <v>6</v>
      </c>
      <c r="G625" s="164">
        <f t="shared" si="705"/>
        <v>125</v>
      </c>
      <c r="H625" s="164">
        <f>F625*G625</f>
        <v>750</v>
      </c>
      <c r="I625" s="164">
        <f t="shared" ref="I625:K625" si="708">$H625*I$619</f>
        <v>75000</v>
      </c>
      <c r="J625" s="164">
        <f t="shared" si="708"/>
        <v>75000</v>
      </c>
      <c r="K625" s="164">
        <f t="shared" si="708"/>
        <v>75000</v>
      </c>
      <c r="L625" s="111"/>
      <c r="M625" s="111"/>
      <c r="N625" s="111"/>
      <c r="O625" s="111"/>
      <c r="P625" s="111"/>
      <c r="Q625" s="111"/>
      <c r="R625" s="111"/>
      <c r="S625" s="712"/>
      <c r="T625" s="169" t="s">
        <v>946</v>
      </c>
      <c r="U625" s="169" t="s">
        <v>946</v>
      </c>
      <c r="V625" s="121" t="s">
        <v>950</v>
      </c>
      <c r="W625" s="121" t="s">
        <v>951</v>
      </c>
      <c r="X625" s="170">
        <f t="shared" si="707"/>
        <v>125</v>
      </c>
      <c r="Y625" s="200">
        <f t="shared" si="695"/>
        <v>600</v>
      </c>
      <c r="Z625" s="167">
        <f t="shared" si="696"/>
        <v>75000</v>
      </c>
      <c r="AA625" s="164">
        <f t="shared" si="697"/>
        <v>125</v>
      </c>
      <c r="AB625" s="200">
        <f t="shared" si="698"/>
        <v>600</v>
      </c>
      <c r="AC625" s="167">
        <f t="shared" si="699"/>
        <v>75000</v>
      </c>
      <c r="AD625" s="164">
        <f t="shared" si="700"/>
        <v>125</v>
      </c>
      <c r="AE625" s="200">
        <f t="shared" si="701"/>
        <v>600</v>
      </c>
      <c r="AF625" s="167">
        <f t="shared" si="702"/>
        <v>75000</v>
      </c>
      <c r="AG625" s="67"/>
    </row>
    <row r="626" spans="1:33">
      <c r="A626" s="134"/>
      <c r="B626" s="153">
        <v>6</v>
      </c>
      <c r="C626" s="121" t="s">
        <v>987</v>
      </c>
      <c r="D626" s="121" t="s">
        <v>1175</v>
      </c>
      <c r="E626" s="209"/>
      <c r="F626" s="164">
        <v>6</v>
      </c>
      <c r="G626" s="164">
        <f>$D$19</f>
        <v>244</v>
      </c>
      <c r="H626" s="164">
        <f>G626*F626</f>
        <v>1464</v>
      </c>
      <c r="I626" s="164">
        <f t="shared" ref="I626:K626" si="709">$H626*I$619</f>
        <v>146400</v>
      </c>
      <c r="J626" s="164">
        <f t="shared" si="709"/>
        <v>146400</v>
      </c>
      <c r="K626" s="164">
        <f t="shared" si="709"/>
        <v>146400</v>
      </c>
      <c r="L626" s="111"/>
      <c r="M626" s="111"/>
      <c r="N626" s="111"/>
      <c r="O626" s="111"/>
      <c r="P626" s="111"/>
      <c r="Q626" s="111"/>
      <c r="R626" s="111"/>
      <c r="S626" s="712"/>
      <c r="T626" s="169" t="s">
        <v>946</v>
      </c>
      <c r="U626" s="169" t="s">
        <v>946</v>
      </c>
      <c r="V626" s="121" t="s">
        <v>989</v>
      </c>
      <c r="W626" s="121" t="s">
        <v>789</v>
      </c>
      <c r="X626" s="170">
        <f t="shared" si="707"/>
        <v>244</v>
      </c>
      <c r="Y626" s="200">
        <f t="shared" si="695"/>
        <v>600</v>
      </c>
      <c r="Z626" s="167">
        <f t="shared" si="696"/>
        <v>146400</v>
      </c>
      <c r="AA626" s="164">
        <f t="shared" si="697"/>
        <v>244</v>
      </c>
      <c r="AB626" s="200">
        <f t="shared" si="698"/>
        <v>600</v>
      </c>
      <c r="AC626" s="167">
        <f t="shared" si="699"/>
        <v>146400</v>
      </c>
      <c r="AD626" s="164">
        <f t="shared" si="700"/>
        <v>244</v>
      </c>
      <c r="AE626" s="200">
        <f t="shared" si="701"/>
        <v>600</v>
      </c>
      <c r="AF626" s="167">
        <f t="shared" si="702"/>
        <v>146400</v>
      </c>
      <c r="AG626" s="67"/>
    </row>
    <row r="627" spans="1:33">
      <c r="A627" s="134"/>
      <c r="B627" s="153">
        <v>7</v>
      </c>
      <c r="C627" s="121" t="s">
        <v>978</v>
      </c>
      <c r="D627" s="121" t="s">
        <v>1265</v>
      </c>
      <c r="E627" s="209">
        <v>1.5</v>
      </c>
      <c r="F627" s="164">
        <v>8.4</v>
      </c>
      <c r="G627" s="164">
        <f>'Assumptions HR_AUN'!$F$8</f>
        <v>80.053187003968247</v>
      </c>
      <c r="H627" s="164">
        <f>E627*F627*G627</f>
        <v>1008.67015625</v>
      </c>
      <c r="I627" s="164">
        <f t="shared" ref="I627:K627" si="710">$H627*I$619</f>
        <v>100867.015625</v>
      </c>
      <c r="J627" s="164">
        <f t="shared" si="710"/>
        <v>100867.015625</v>
      </c>
      <c r="K627" s="164">
        <f t="shared" si="710"/>
        <v>100867.015625</v>
      </c>
      <c r="L627" s="111"/>
      <c r="M627" s="111"/>
      <c r="N627" s="111"/>
      <c r="O627" s="111"/>
      <c r="P627" s="111"/>
      <c r="Q627" s="111"/>
      <c r="R627" s="111"/>
      <c r="S627" s="712"/>
      <c r="T627" s="169" t="s">
        <v>946</v>
      </c>
      <c r="U627" s="169" t="s">
        <v>946</v>
      </c>
      <c r="V627" s="121" t="s">
        <v>977</v>
      </c>
      <c r="W627" s="121" t="s">
        <v>961</v>
      </c>
      <c r="X627" s="170">
        <f>G627*$D$35*$D$36</f>
        <v>40346.806249999994</v>
      </c>
      <c r="Y627" s="200">
        <f t="shared" si="695"/>
        <v>2.5000000000000004</v>
      </c>
      <c r="Z627" s="167">
        <f t="shared" si="696"/>
        <v>100867.015625</v>
      </c>
      <c r="AA627" s="164">
        <f t="shared" si="697"/>
        <v>40346.806249999994</v>
      </c>
      <c r="AB627" s="200">
        <f t="shared" si="698"/>
        <v>2.5000000000000004</v>
      </c>
      <c r="AC627" s="167">
        <f t="shared" si="699"/>
        <v>100867.015625</v>
      </c>
      <c r="AD627" s="164">
        <f t="shared" si="700"/>
        <v>40346.806249999994</v>
      </c>
      <c r="AE627" s="200">
        <f t="shared" si="701"/>
        <v>2.5000000000000004</v>
      </c>
      <c r="AF627" s="167">
        <f t="shared" si="702"/>
        <v>100867.015625</v>
      </c>
      <c r="AG627" s="67"/>
    </row>
    <row r="628" spans="1:33">
      <c r="A628" s="134"/>
      <c r="B628" s="153">
        <v>8</v>
      </c>
      <c r="C628" s="121" t="s">
        <v>985</v>
      </c>
      <c r="D628" s="121" t="s">
        <v>1266</v>
      </c>
      <c r="E628" s="209"/>
      <c r="F628" s="164">
        <v>8.4</v>
      </c>
      <c r="G628" s="164">
        <f>$D$32</f>
        <v>60</v>
      </c>
      <c r="H628" s="164">
        <f>G628*F628</f>
        <v>504</v>
      </c>
      <c r="I628" s="164">
        <f t="shared" ref="I628:K628" si="711">$H628*I$619</f>
        <v>50400</v>
      </c>
      <c r="J628" s="164">
        <f t="shared" si="711"/>
        <v>50400</v>
      </c>
      <c r="K628" s="164">
        <f t="shared" si="711"/>
        <v>50400</v>
      </c>
      <c r="L628" s="111"/>
      <c r="M628" s="111"/>
      <c r="N628" s="111"/>
      <c r="O628" s="111"/>
      <c r="P628" s="111"/>
      <c r="Q628" s="111"/>
      <c r="R628" s="111"/>
      <c r="S628" s="712"/>
      <c r="T628" s="169" t="s">
        <v>946</v>
      </c>
      <c r="U628" s="169" t="s">
        <v>946</v>
      </c>
      <c r="V628" s="121" t="s">
        <v>957</v>
      </c>
      <c r="W628" s="121" t="s">
        <v>789</v>
      </c>
      <c r="X628" s="170">
        <f t="shared" ref="X628:X629" si="712">G628</f>
        <v>60</v>
      </c>
      <c r="Y628" s="200">
        <f t="shared" si="695"/>
        <v>840</v>
      </c>
      <c r="Z628" s="167">
        <f t="shared" si="696"/>
        <v>50400</v>
      </c>
      <c r="AA628" s="164">
        <f t="shared" si="697"/>
        <v>60</v>
      </c>
      <c r="AB628" s="200">
        <f t="shared" si="698"/>
        <v>840</v>
      </c>
      <c r="AC628" s="167">
        <f t="shared" si="699"/>
        <v>50400</v>
      </c>
      <c r="AD628" s="164">
        <f t="shared" si="700"/>
        <v>60</v>
      </c>
      <c r="AE628" s="200">
        <f t="shared" si="701"/>
        <v>840</v>
      </c>
      <c r="AF628" s="167">
        <f t="shared" si="702"/>
        <v>50400</v>
      </c>
      <c r="AG628" s="67"/>
    </row>
    <row r="629" spans="1:33">
      <c r="A629" s="134"/>
      <c r="B629" s="153">
        <v>9</v>
      </c>
      <c r="C629" s="121" t="s">
        <v>987</v>
      </c>
      <c r="D629" s="121" t="s">
        <v>1178</v>
      </c>
      <c r="E629" s="209"/>
      <c r="F629" s="164">
        <v>8.4</v>
      </c>
      <c r="G629" s="164">
        <f>$D$19</f>
        <v>244</v>
      </c>
      <c r="H629" s="164">
        <f>F629*G629</f>
        <v>2049.6</v>
      </c>
      <c r="I629" s="164">
        <f t="shared" ref="I629:K629" si="713">$H629*I$619</f>
        <v>204960</v>
      </c>
      <c r="J629" s="164">
        <f t="shared" si="713"/>
        <v>204960</v>
      </c>
      <c r="K629" s="164">
        <f t="shared" si="713"/>
        <v>204960</v>
      </c>
      <c r="L629" s="111"/>
      <c r="M629" s="111"/>
      <c r="N629" s="111"/>
      <c r="O629" s="111"/>
      <c r="P629" s="111"/>
      <c r="Q629" s="111"/>
      <c r="R629" s="111"/>
      <c r="S629" s="712"/>
      <c r="T629" s="169" t="s">
        <v>946</v>
      </c>
      <c r="U629" s="169" t="s">
        <v>946</v>
      </c>
      <c r="V629" s="121" t="s">
        <v>989</v>
      </c>
      <c r="W629" s="121" t="s">
        <v>789</v>
      </c>
      <c r="X629" s="170">
        <f t="shared" si="712"/>
        <v>244</v>
      </c>
      <c r="Y629" s="200">
        <f t="shared" si="695"/>
        <v>840</v>
      </c>
      <c r="Z629" s="167">
        <f t="shared" si="696"/>
        <v>204960</v>
      </c>
      <c r="AA629" s="164">
        <f t="shared" si="697"/>
        <v>244</v>
      </c>
      <c r="AB629" s="200">
        <f t="shared" si="698"/>
        <v>840</v>
      </c>
      <c r="AC629" s="167">
        <f t="shared" si="699"/>
        <v>204960</v>
      </c>
      <c r="AD629" s="164">
        <f t="shared" si="700"/>
        <v>244</v>
      </c>
      <c r="AE629" s="200">
        <f t="shared" si="701"/>
        <v>840</v>
      </c>
      <c r="AF629" s="167">
        <f t="shared" si="702"/>
        <v>204960</v>
      </c>
      <c r="AG629" s="67"/>
    </row>
    <row r="630" spans="1:33">
      <c r="A630" s="134"/>
      <c r="B630" s="153">
        <v>10</v>
      </c>
      <c r="C630" s="121" t="s">
        <v>1179</v>
      </c>
      <c r="D630" s="121" t="s">
        <v>1267</v>
      </c>
      <c r="E630" s="209">
        <v>0.5</v>
      </c>
      <c r="F630" s="164">
        <v>12</v>
      </c>
      <c r="G630" s="164">
        <f>'Assumptions HR_AUN'!$F$8</f>
        <v>80.053187003968247</v>
      </c>
      <c r="H630" s="164">
        <f>E630*F630*G630</f>
        <v>480.31912202380948</v>
      </c>
      <c r="I630" s="164">
        <f t="shared" ref="I630:K630" si="714">$H630*I$619</f>
        <v>48031.912202380947</v>
      </c>
      <c r="J630" s="164">
        <f t="shared" si="714"/>
        <v>48031.912202380947</v>
      </c>
      <c r="K630" s="164">
        <f t="shared" si="714"/>
        <v>48031.912202380947</v>
      </c>
      <c r="L630" s="111"/>
      <c r="M630" s="111"/>
      <c r="N630" s="111"/>
      <c r="O630" s="111"/>
      <c r="P630" s="111"/>
      <c r="Q630" s="111"/>
      <c r="R630" s="111"/>
      <c r="S630" s="712"/>
      <c r="T630" s="169" t="s">
        <v>946</v>
      </c>
      <c r="U630" s="169" t="s">
        <v>946</v>
      </c>
      <c r="V630" s="121" t="s">
        <v>977</v>
      </c>
      <c r="W630" s="121" t="s">
        <v>961</v>
      </c>
      <c r="X630" s="170">
        <f>G630*$D$35*$D$36</f>
        <v>40346.806249999994</v>
      </c>
      <c r="Y630" s="200">
        <f t="shared" si="695"/>
        <v>1.1904761904761905</v>
      </c>
      <c r="Z630" s="167">
        <f t="shared" si="696"/>
        <v>48031.912202380947</v>
      </c>
      <c r="AA630" s="164">
        <f t="shared" si="697"/>
        <v>40346.806249999994</v>
      </c>
      <c r="AB630" s="200">
        <f t="shared" si="698"/>
        <v>1.1904761904761905</v>
      </c>
      <c r="AC630" s="167">
        <f t="shared" si="699"/>
        <v>48031.912202380947</v>
      </c>
      <c r="AD630" s="164">
        <f t="shared" si="700"/>
        <v>40346.806249999994</v>
      </c>
      <c r="AE630" s="200">
        <f t="shared" si="701"/>
        <v>1.1904761904761905</v>
      </c>
      <c r="AF630" s="167">
        <f t="shared" si="702"/>
        <v>48031.912202380947</v>
      </c>
      <c r="AG630" s="67"/>
    </row>
    <row r="631" spans="1:33">
      <c r="A631" s="134"/>
      <c r="B631" s="153">
        <v>11</v>
      </c>
      <c r="C631" s="121" t="s">
        <v>1001</v>
      </c>
      <c r="D631" s="121"/>
      <c r="E631" s="121"/>
      <c r="F631" s="164"/>
      <c r="G631" s="185">
        <f>$C$13</f>
        <v>0.1</v>
      </c>
      <c r="H631" s="164">
        <f>SUM(H621:H630)*G631</f>
        <v>901.73589397833246</v>
      </c>
      <c r="I631" s="164">
        <f t="shared" ref="I631:K631" si="715">$H631*I$619</f>
        <v>90173.589397833246</v>
      </c>
      <c r="J631" s="164">
        <f t="shared" si="715"/>
        <v>90173.589397833246</v>
      </c>
      <c r="K631" s="164">
        <f t="shared" si="715"/>
        <v>90173.589397833246</v>
      </c>
      <c r="L631" s="111"/>
      <c r="M631" s="111"/>
      <c r="N631" s="111"/>
      <c r="O631" s="111"/>
      <c r="P631" s="111"/>
      <c r="Q631" s="111"/>
      <c r="R631" s="111"/>
      <c r="S631" s="712"/>
      <c r="T631" s="169" t="s">
        <v>946</v>
      </c>
      <c r="U631" s="169" t="s">
        <v>946</v>
      </c>
      <c r="V631" s="121" t="s">
        <v>875</v>
      </c>
      <c r="W631" s="121" t="s">
        <v>961</v>
      </c>
      <c r="X631" s="170">
        <f>'Assumptions HR_AUN'!$D$4*3</f>
        <v>88211.039066799218</v>
      </c>
      <c r="Y631" s="200">
        <f t="shared" si="695"/>
        <v>1.0222483529476152</v>
      </c>
      <c r="Z631" s="167">
        <f t="shared" si="696"/>
        <v>90173.589397833231</v>
      </c>
      <c r="AA631" s="164">
        <f t="shared" si="697"/>
        <v>88211.039066799218</v>
      </c>
      <c r="AB631" s="200">
        <f t="shared" si="698"/>
        <v>1.0222483529476152</v>
      </c>
      <c r="AC631" s="167">
        <f t="shared" si="699"/>
        <v>90173.589397833231</v>
      </c>
      <c r="AD631" s="164">
        <f t="shared" si="700"/>
        <v>88211.039066799218</v>
      </c>
      <c r="AE631" s="200">
        <f t="shared" si="701"/>
        <v>1.0222483529476152</v>
      </c>
      <c r="AF631" s="167">
        <f t="shared" si="702"/>
        <v>90173.589397833231</v>
      </c>
      <c r="AG631" s="67"/>
    </row>
    <row r="632" spans="1:33">
      <c r="A632" s="134"/>
      <c r="B632" s="153">
        <v>12</v>
      </c>
      <c r="C632" s="121" t="s">
        <v>962</v>
      </c>
      <c r="D632" s="121"/>
      <c r="E632" s="121"/>
      <c r="F632" s="121"/>
      <c r="G632" s="185">
        <f>$C$14</f>
        <v>0.15</v>
      </c>
      <c r="H632" s="164">
        <f>SUM(H621:H630)*G632</f>
        <v>1352.6038409674986</v>
      </c>
      <c r="I632" s="164">
        <f t="shared" ref="I632:K632" si="716">$H632*I$619</f>
        <v>135260.38409674985</v>
      </c>
      <c r="J632" s="164">
        <f t="shared" si="716"/>
        <v>135260.38409674985</v>
      </c>
      <c r="K632" s="164">
        <f t="shared" si="716"/>
        <v>135260.38409674985</v>
      </c>
      <c r="L632" s="111"/>
      <c r="M632" s="111"/>
      <c r="N632" s="111"/>
      <c r="O632" s="111"/>
      <c r="P632" s="111"/>
      <c r="Q632" s="111"/>
      <c r="R632" s="111"/>
      <c r="S632" s="712"/>
      <c r="T632" s="169" t="s">
        <v>946</v>
      </c>
      <c r="U632" s="169" t="s">
        <v>946</v>
      </c>
      <c r="V632" s="121" t="s">
        <v>881</v>
      </c>
      <c r="W632" s="121" t="s">
        <v>964</v>
      </c>
      <c r="X632" s="170">
        <f>I632/4</f>
        <v>33815.096024187464</v>
      </c>
      <c r="Y632" s="200">
        <f t="shared" si="695"/>
        <v>4</v>
      </c>
      <c r="Z632" s="167">
        <f t="shared" si="696"/>
        <v>135260.38409674985</v>
      </c>
      <c r="AA632" s="164">
        <f>J632/4</f>
        <v>33815.096024187464</v>
      </c>
      <c r="AB632" s="200">
        <f t="shared" si="698"/>
        <v>4</v>
      </c>
      <c r="AC632" s="167">
        <f t="shared" si="699"/>
        <v>135260.38409674985</v>
      </c>
      <c r="AD632" s="164">
        <f t="shared" si="700"/>
        <v>33815.096024187464</v>
      </c>
      <c r="AE632" s="200">
        <f t="shared" si="701"/>
        <v>4</v>
      </c>
      <c r="AF632" s="167">
        <f t="shared" si="702"/>
        <v>135260.38409674985</v>
      </c>
      <c r="AG632" s="67"/>
    </row>
    <row r="633" spans="1:33">
      <c r="A633" s="134"/>
      <c r="B633" s="212" t="s">
        <v>770</v>
      </c>
      <c r="C633" s="212"/>
      <c r="D633" s="212"/>
      <c r="E633" s="212"/>
      <c r="F633" s="212"/>
      <c r="G633" s="178"/>
      <c r="H633" s="178">
        <f t="shared" ref="H633:K633" si="717">SUM(H621:H632)</f>
        <v>11271.698674729154</v>
      </c>
      <c r="I633" s="178">
        <f t="shared" si="717"/>
        <v>1127169.8674729154</v>
      </c>
      <c r="J633" s="178">
        <f t="shared" si="717"/>
        <v>1127169.8674729154</v>
      </c>
      <c r="K633" s="178">
        <f t="shared" si="717"/>
        <v>1127169.8674729154</v>
      </c>
      <c r="L633" s="111"/>
      <c r="M633" s="111"/>
      <c r="N633" s="111"/>
      <c r="O633" s="111"/>
      <c r="P633" s="111"/>
      <c r="Q633" s="111"/>
      <c r="R633" s="111"/>
      <c r="S633" s="712"/>
      <c r="T633" s="111"/>
      <c r="U633" s="111"/>
      <c r="V633" s="111"/>
      <c r="W633" s="111"/>
      <c r="X633" s="132"/>
      <c r="Y633" s="133"/>
      <c r="Z633" s="132"/>
      <c r="AA633" s="132"/>
      <c r="AB633" s="133"/>
      <c r="AC633" s="132"/>
      <c r="AD633" s="132"/>
      <c r="AE633" s="133"/>
      <c r="AF633" s="132"/>
      <c r="AG633" s="67"/>
    </row>
    <row r="634" spans="1:33">
      <c r="A634" s="9"/>
      <c r="B634" s="111"/>
      <c r="C634" s="111"/>
      <c r="D634" s="111"/>
      <c r="E634" s="111"/>
      <c r="F634" s="111"/>
      <c r="G634" s="111"/>
      <c r="H634" s="111"/>
      <c r="I634" s="111"/>
      <c r="J634" s="111"/>
      <c r="K634" s="111"/>
      <c r="L634" s="111"/>
      <c r="M634" s="111"/>
      <c r="N634" s="111"/>
      <c r="O634" s="111"/>
      <c r="P634" s="111"/>
      <c r="Q634" s="111"/>
      <c r="R634" s="111"/>
      <c r="S634" s="712"/>
      <c r="T634" s="111"/>
      <c r="U634" s="111"/>
      <c r="V634" s="111"/>
      <c r="W634" s="111"/>
      <c r="X634" s="132"/>
      <c r="Y634" s="111"/>
      <c r="Z634" s="111"/>
      <c r="AA634" s="111"/>
      <c r="AB634" s="111"/>
      <c r="AC634" s="111"/>
      <c r="AD634" s="111"/>
      <c r="AE634" s="111"/>
      <c r="AF634" s="111"/>
      <c r="AG634" s="67"/>
    </row>
    <row r="635" spans="1:33">
      <c r="A635" s="9"/>
      <c r="B635" s="111"/>
      <c r="C635" s="111"/>
      <c r="D635" s="111"/>
      <c r="E635" s="111"/>
      <c r="F635" s="111"/>
      <c r="G635" s="111"/>
      <c r="H635" s="111"/>
      <c r="I635" s="191" t="s">
        <v>1119</v>
      </c>
      <c r="J635" s="111"/>
      <c r="K635" s="111"/>
      <c r="L635" s="111"/>
      <c r="M635" s="111"/>
      <c r="N635" s="111"/>
      <c r="O635" s="111"/>
      <c r="P635" s="111"/>
      <c r="Q635" s="111"/>
      <c r="R635" s="111"/>
      <c r="S635" s="712"/>
      <c r="T635" s="111"/>
      <c r="U635" s="111"/>
      <c r="V635" s="111"/>
      <c r="W635" s="111"/>
      <c r="X635" s="132"/>
      <c r="Y635" s="111"/>
      <c r="Z635" s="111"/>
      <c r="AA635" s="111"/>
      <c r="AB635" s="111"/>
      <c r="AC635" s="111"/>
      <c r="AD635" s="111"/>
      <c r="AE635" s="111"/>
      <c r="AF635" s="111"/>
      <c r="AG635" s="67"/>
    </row>
    <row r="636" spans="1:33">
      <c r="A636" s="725">
        <v>35</v>
      </c>
      <c r="B636" s="726" t="e" vm="1">
        <f>'[2]AUN Budget'!E179</f>
        <v>#VALUE!</v>
      </c>
      <c r="C636" s="731"/>
      <c r="D636" s="731"/>
      <c r="E636" s="731"/>
      <c r="F636" s="731"/>
      <c r="G636" s="731"/>
      <c r="H636" s="731"/>
      <c r="I636" s="216">
        <v>1278</v>
      </c>
      <c r="J636" s="216">
        <v>1278</v>
      </c>
      <c r="K636" s="216">
        <v>1278</v>
      </c>
      <c r="L636" s="111"/>
      <c r="M636" s="111"/>
      <c r="N636" s="111"/>
      <c r="O636" s="111"/>
      <c r="P636" s="111"/>
      <c r="Q636" s="111"/>
      <c r="R636" s="111"/>
      <c r="S636" s="712"/>
      <c r="T636" s="111"/>
      <c r="U636" s="111"/>
      <c r="V636" s="111"/>
      <c r="W636" s="111"/>
      <c r="X636" s="132"/>
      <c r="Y636" s="133"/>
      <c r="Z636" s="132"/>
      <c r="AA636" s="132"/>
      <c r="AB636" s="133"/>
      <c r="AC636" s="132"/>
      <c r="AD636" s="132"/>
      <c r="AE636" s="133"/>
      <c r="AF636" s="132"/>
      <c r="AG636" s="67"/>
    </row>
    <row r="637" spans="1:33">
      <c r="A637" s="157" t="s">
        <v>1268</v>
      </c>
      <c r="B637" s="113" t="s">
        <v>755</v>
      </c>
      <c r="C637" s="113" t="s">
        <v>966</v>
      </c>
      <c r="D637" s="113" t="s">
        <v>967</v>
      </c>
      <c r="E637" s="113" t="s">
        <v>968</v>
      </c>
      <c r="F637" s="113" t="s">
        <v>969</v>
      </c>
      <c r="G637" s="113" t="s">
        <v>970</v>
      </c>
      <c r="H637" s="113" t="s">
        <v>971</v>
      </c>
      <c r="I637" s="113" t="s">
        <v>972</v>
      </c>
      <c r="J637" s="113" t="s">
        <v>973</v>
      </c>
      <c r="K637" s="113" t="s">
        <v>974</v>
      </c>
      <c r="L637" s="111"/>
      <c r="M637" s="111"/>
      <c r="N637" s="111"/>
      <c r="O637" s="182"/>
      <c r="P637" s="182"/>
      <c r="Q637" s="182"/>
      <c r="R637" s="182"/>
      <c r="S637" s="727"/>
      <c r="T637" s="159" t="s">
        <v>387</v>
      </c>
      <c r="U637" s="159" t="s">
        <v>388</v>
      </c>
      <c r="V637" s="159" t="s">
        <v>934</v>
      </c>
      <c r="W637" s="160" t="s">
        <v>935</v>
      </c>
      <c r="X637" s="161" t="s">
        <v>936</v>
      </c>
      <c r="Y637" s="162" t="s">
        <v>937</v>
      </c>
      <c r="Z637" s="161" t="s">
        <v>938</v>
      </c>
      <c r="AA637" s="161" t="s">
        <v>939</v>
      </c>
      <c r="AB637" s="162" t="s">
        <v>940</v>
      </c>
      <c r="AC637" s="161" t="s">
        <v>941</v>
      </c>
      <c r="AD637" s="161" t="s">
        <v>942</v>
      </c>
      <c r="AE637" s="162" t="s">
        <v>943</v>
      </c>
      <c r="AF637" s="161" t="s">
        <v>944</v>
      </c>
      <c r="AG637" s="67"/>
    </row>
    <row r="638" spans="1:33">
      <c r="A638" s="134"/>
      <c r="B638" s="153">
        <v>1</v>
      </c>
      <c r="C638" s="121" t="s">
        <v>978</v>
      </c>
      <c r="D638" s="121" t="s">
        <v>1269</v>
      </c>
      <c r="E638" s="209">
        <v>0.5</v>
      </c>
      <c r="F638" s="164">
        <v>12</v>
      </c>
      <c r="G638" s="164">
        <f>'Assumptions HR_AUN'!$F$8</f>
        <v>80.053187003968247</v>
      </c>
      <c r="H638" s="164">
        <f t="shared" ref="H638:H639" si="718">E638*F638*G638</f>
        <v>480.31912202380948</v>
      </c>
      <c r="I638" s="164">
        <f t="shared" ref="I638:K638" si="719">$H638*I$636</f>
        <v>613847.83794642857</v>
      </c>
      <c r="J638" s="164">
        <f t="shared" si="719"/>
        <v>613847.83794642857</v>
      </c>
      <c r="K638" s="164">
        <f t="shared" si="719"/>
        <v>613847.83794642857</v>
      </c>
      <c r="L638" s="111"/>
      <c r="M638" s="111"/>
      <c r="N638" s="111"/>
      <c r="O638" s="111"/>
      <c r="P638" s="111"/>
      <c r="Q638" s="111"/>
      <c r="R638" s="111"/>
      <c r="S638" s="712"/>
      <c r="T638" s="169" t="s">
        <v>946</v>
      </c>
      <c r="U638" s="169" t="s">
        <v>946</v>
      </c>
      <c r="V638" s="121" t="s">
        <v>977</v>
      </c>
      <c r="W638" s="121" t="s">
        <v>961</v>
      </c>
      <c r="X638" s="170">
        <f t="shared" ref="X638:X639" si="720">G638*$D$35*$D$36</f>
        <v>40346.806249999994</v>
      </c>
      <c r="Y638" s="200">
        <f t="shared" ref="Y638:Y644" si="721">I638/X638</f>
        <v>15.214285714285717</v>
      </c>
      <c r="Z638" s="167">
        <f t="shared" ref="Z638:Z644" si="722">X638*Y638</f>
        <v>613847.83794642857</v>
      </c>
      <c r="AA638" s="164">
        <f t="shared" ref="AA638:AA642" si="723">X638</f>
        <v>40346.806249999994</v>
      </c>
      <c r="AB638" s="200">
        <f t="shared" ref="AB638:AB644" si="724">J638/AA638</f>
        <v>15.214285714285717</v>
      </c>
      <c r="AC638" s="167">
        <f t="shared" ref="AC638:AC644" si="725">AA638*AB638</f>
        <v>613847.83794642857</v>
      </c>
      <c r="AD638" s="164">
        <f t="shared" ref="AD638:AD642" si="726">AA638</f>
        <v>40346.806249999994</v>
      </c>
      <c r="AE638" s="200">
        <f t="shared" ref="AE638:AE644" si="727">K638/AD638</f>
        <v>15.214285714285717</v>
      </c>
      <c r="AF638" s="167">
        <f t="shared" ref="AF638:AF644" si="728">AD638*AE638</f>
        <v>613847.83794642857</v>
      </c>
      <c r="AG638" s="67"/>
    </row>
    <row r="639" spans="1:33">
      <c r="A639" s="134"/>
      <c r="B639" s="153">
        <v>2</v>
      </c>
      <c r="C639" s="121" t="s">
        <v>978</v>
      </c>
      <c r="D639" s="121" t="s">
        <v>1270</v>
      </c>
      <c r="E639" s="209">
        <v>1</v>
      </c>
      <c r="F639" s="164">
        <v>12</v>
      </c>
      <c r="G639" s="164">
        <f>'Assumptions HR_AUN'!$F$8</f>
        <v>80.053187003968247</v>
      </c>
      <c r="H639" s="164">
        <f t="shared" si="718"/>
        <v>960.63824404761897</v>
      </c>
      <c r="I639" s="164">
        <f t="shared" ref="I639:K639" si="729">$H639*I$636</f>
        <v>1227695.6758928571</v>
      </c>
      <c r="J639" s="164">
        <f t="shared" si="729"/>
        <v>1227695.6758928571</v>
      </c>
      <c r="K639" s="164">
        <f t="shared" si="729"/>
        <v>1227695.6758928571</v>
      </c>
      <c r="L639" s="111"/>
      <c r="M639" s="111"/>
      <c r="N639" s="111"/>
      <c r="O639" s="111"/>
      <c r="P639" s="111"/>
      <c r="Q639" s="111"/>
      <c r="R639" s="111"/>
      <c r="S639" s="712"/>
      <c r="T639" s="169" t="s">
        <v>946</v>
      </c>
      <c r="U639" s="169" t="s">
        <v>946</v>
      </c>
      <c r="V639" s="121" t="s">
        <v>977</v>
      </c>
      <c r="W639" s="121" t="s">
        <v>961</v>
      </c>
      <c r="X639" s="170">
        <f t="shared" si="720"/>
        <v>40346.806249999994</v>
      </c>
      <c r="Y639" s="200">
        <f t="shared" si="721"/>
        <v>30.428571428571434</v>
      </c>
      <c r="Z639" s="167">
        <f t="shared" si="722"/>
        <v>1227695.6758928571</v>
      </c>
      <c r="AA639" s="164">
        <f t="shared" si="723"/>
        <v>40346.806249999994</v>
      </c>
      <c r="AB639" s="200">
        <f t="shared" si="724"/>
        <v>30.428571428571434</v>
      </c>
      <c r="AC639" s="167">
        <f t="shared" si="725"/>
        <v>1227695.6758928571</v>
      </c>
      <c r="AD639" s="164">
        <f t="shared" si="726"/>
        <v>40346.806249999994</v>
      </c>
      <c r="AE639" s="200">
        <f t="shared" si="727"/>
        <v>30.428571428571434</v>
      </c>
      <c r="AF639" s="167">
        <f t="shared" si="728"/>
        <v>1227695.6758928571</v>
      </c>
      <c r="AG639" s="67"/>
    </row>
    <row r="640" spans="1:33">
      <c r="A640" s="134"/>
      <c r="B640" s="153">
        <v>3</v>
      </c>
      <c r="C640" s="121" t="s">
        <v>987</v>
      </c>
      <c r="D640" s="121" t="s">
        <v>1167</v>
      </c>
      <c r="E640" s="209"/>
      <c r="F640" s="164">
        <v>1</v>
      </c>
      <c r="G640" s="164">
        <f>$D$27</f>
        <v>300</v>
      </c>
      <c r="H640" s="164">
        <f t="shared" ref="H640:H642" si="730">F640*G640</f>
        <v>300</v>
      </c>
      <c r="I640" s="164">
        <f t="shared" ref="I640:K640" si="731">$H640*I$636</f>
        <v>383400</v>
      </c>
      <c r="J640" s="164">
        <f t="shared" si="731"/>
        <v>383400</v>
      </c>
      <c r="K640" s="164">
        <f t="shared" si="731"/>
        <v>383400</v>
      </c>
      <c r="L640" s="111"/>
      <c r="M640" s="111"/>
      <c r="N640" s="111"/>
      <c r="O640" s="111"/>
      <c r="P640" s="111"/>
      <c r="Q640" s="111"/>
      <c r="R640" s="111"/>
      <c r="S640" s="712"/>
      <c r="T640" s="169" t="s">
        <v>946</v>
      </c>
      <c r="U640" s="169" t="s">
        <v>946</v>
      </c>
      <c r="V640" s="121" t="s">
        <v>994</v>
      </c>
      <c r="W640" s="121" t="s">
        <v>789</v>
      </c>
      <c r="X640" s="170">
        <f t="shared" ref="X640:X641" si="732">$G$640</f>
        <v>300</v>
      </c>
      <c r="Y640" s="200">
        <f t="shared" si="721"/>
        <v>1278</v>
      </c>
      <c r="Z640" s="167">
        <f t="shared" si="722"/>
        <v>383400</v>
      </c>
      <c r="AA640" s="164">
        <f t="shared" si="723"/>
        <v>300</v>
      </c>
      <c r="AB640" s="200">
        <f t="shared" si="724"/>
        <v>1278</v>
      </c>
      <c r="AC640" s="167">
        <f t="shared" si="725"/>
        <v>383400</v>
      </c>
      <c r="AD640" s="164">
        <f t="shared" si="726"/>
        <v>300</v>
      </c>
      <c r="AE640" s="200">
        <f t="shared" si="727"/>
        <v>1278</v>
      </c>
      <c r="AF640" s="167">
        <f t="shared" si="728"/>
        <v>383400</v>
      </c>
      <c r="AG640" s="67"/>
    </row>
    <row r="641" spans="1:33">
      <c r="A641" s="134"/>
      <c r="B641" s="153">
        <v>4</v>
      </c>
      <c r="C641" s="121" t="s">
        <v>992</v>
      </c>
      <c r="D641" s="121" t="s">
        <v>1168</v>
      </c>
      <c r="E641" s="209"/>
      <c r="F641" s="164">
        <v>0.8</v>
      </c>
      <c r="G641" s="164">
        <f>$D$23</f>
        <v>1025</v>
      </c>
      <c r="H641" s="164">
        <f t="shared" si="730"/>
        <v>820</v>
      </c>
      <c r="I641" s="164">
        <f t="shared" ref="I641:K641" si="733">$H641*I$636</f>
        <v>1047960</v>
      </c>
      <c r="J641" s="164">
        <f t="shared" si="733"/>
        <v>1047960</v>
      </c>
      <c r="K641" s="164">
        <f t="shared" si="733"/>
        <v>1047960</v>
      </c>
      <c r="L641" s="111"/>
      <c r="M641" s="111"/>
      <c r="N641" s="111"/>
      <c r="O641" s="111"/>
      <c r="P641" s="111"/>
      <c r="Q641" s="111"/>
      <c r="R641" s="111"/>
      <c r="S641" s="712"/>
      <c r="T641" s="169" t="s">
        <v>946</v>
      </c>
      <c r="U641" s="169" t="s">
        <v>946</v>
      </c>
      <c r="V641" s="121" t="s">
        <v>994</v>
      </c>
      <c r="W641" s="121" t="s">
        <v>789</v>
      </c>
      <c r="X641" s="170">
        <f t="shared" si="732"/>
        <v>300</v>
      </c>
      <c r="Y641" s="200">
        <f t="shared" si="721"/>
        <v>3493.2</v>
      </c>
      <c r="Z641" s="167">
        <f t="shared" si="722"/>
        <v>1047960</v>
      </c>
      <c r="AA641" s="164">
        <f t="shared" si="723"/>
        <v>300</v>
      </c>
      <c r="AB641" s="200">
        <f t="shared" si="724"/>
        <v>3493.2</v>
      </c>
      <c r="AC641" s="167">
        <f t="shared" si="725"/>
        <v>1047960</v>
      </c>
      <c r="AD641" s="164">
        <f t="shared" si="726"/>
        <v>300</v>
      </c>
      <c r="AE641" s="200">
        <f t="shared" si="727"/>
        <v>3493.2</v>
      </c>
      <c r="AF641" s="167">
        <f t="shared" si="728"/>
        <v>1047960</v>
      </c>
      <c r="AG641" s="67"/>
    </row>
    <row r="642" spans="1:33">
      <c r="A642" s="134"/>
      <c r="B642" s="153">
        <v>5</v>
      </c>
      <c r="C642" s="121" t="s">
        <v>985</v>
      </c>
      <c r="D642" s="121" t="s">
        <v>1271</v>
      </c>
      <c r="E642" s="209"/>
      <c r="F642" s="164">
        <v>0.5</v>
      </c>
      <c r="G642" s="164">
        <f>$D$31</f>
        <v>798</v>
      </c>
      <c r="H642" s="164">
        <f t="shared" si="730"/>
        <v>399</v>
      </c>
      <c r="I642" s="164">
        <f t="shared" ref="I642:K642" si="734">$H642*I$636</f>
        <v>509922</v>
      </c>
      <c r="J642" s="164">
        <f t="shared" si="734"/>
        <v>509922</v>
      </c>
      <c r="K642" s="164">
        <f t="shared" si="734"/>
        <v>509922</v>
      </c>
      <c r="L642" s="111"/>
      <c r="M642" s="111"/>
      <c r="N642" s="111"/>
      <c r="O642" s="111"/>
      <c r="P642" s="111"/>
      <c r="Q642" s="111"/>
      <c r="R642" s="111"/>
      <c r="S642" s="712"/>
      <c r="T642" s="169" t="s">
        <v>946</v>
      </c>
      <c r="U642" s="169" t="s">
        <v>946</v>
      </c>
      <c r="V642" s="121" t="s">
        <v>957</v>
      </c>
      <c r="W642" s="121" t="s">
        <v>789</v>
      </c>
      <c r="X642" s="170">
        <f>G642</f>
        <v>798</v>
      </c>
      <c r="Y642" s="200">
        <f t="shared" si="721"/>
        <v>639</v>
      </c>
      <c r="Z642" s="167">
        <f t="shared" si="722"/>
        <v>509922</v>
      </c>
      <c r="AA642" s="164">
        <f t="shared" si="723"/>
        <v>798</v>
      </c>
      <c r="AB642" s="200">
        <f t="shared" si="724"/>
        <v>639</v>
      </c>
      <c r="AC642" s="167">
        <f t="shared" si="725"/>
        <v>509922</v>
      </c>
      <c r="AD642" s="164">
        <f t="shared" si="726"/>
        <v>798</v>
      </c>
      <c r="AE642" s="200">
        <f t="shared" si="727"/>
        <v>639</v>
      </c>
      <c r="AF642" s="167">
        <f t="shared" si="728"/>
        <v>509922</v>
      </c>
      <c r="AG642" s="67"/>
    </row>
    <row r="643" spans="1:33">
      <c r="A643" s="134"/>
      <c r="B643" s="153">
        <v>6</v>
      </c>
      <c r="C643" s="121" t="s">
        <v>1001</v>
      </c>
      <c r="D643" s="121"/>
      <c r="E643" s="209"/>
      <c r="F643" s="164"/>
      <c r="G643" s="185">
        <f>$C$13</f>
        <v>0.1</v>
      </c>
      <c r="H643" s="164">
        <f>SUM(H638:H642)*G643</f>
        <v>295.99573660714287</v>
      </c>
      <c r="I643" s="164">
        <f t="shared" ref="I643:K643" si="735">$H643*I$636</f>
        <v>378282.55138392857</v>
      </c>
      <c r="J643" s="164">
        <f t="shared" si="735"/>
        <v>378282.55138392857</v>
      </c>
      <c r="K643" s="164">
        <f t="shared" si="735"/>
        <v>378282.55138392857</v>
      </c>
      <c r="L643" s="111"/>
      <c r="M643" s="111"/>
      <c r="N643" s="111"/>
      <c r="O643" s="111"/>
      <c r="P643" s="111"/>
      <c r="Q643" s="111"/>
      <c r="R643" s="111"/>
      <c r="S643" s="712"/>
      <c r="T643" s="169" t="s">
        <v>946</v>
      </c>
      <c r="U643" s="169" t="s">
        <v>946</v>
      </c>
      <c r="V643" s="121" t="s">
        <v>875</v>
      </c>
      <c r="W643" s="121" t="s">
        <v>961</v>
      </c>
      <c r="X643" s="170">
        <f>'Assumptions HR_AUN'!$D$4*3</f>
        <v>88211.039066799218</v>
      </c>
      <c r="Y643" s="200">
        <f t="shared" si="721"/>
        <v>4.2883810845654828</v>
      </c>
      <c r="Z643" s="167">
        <f t="shared" si="722"/>
        <v>378282.55138392863</v>
      </c>
      <c r="AA643" s="164">
        <f>'Assumptions HR_AUN'!$D$4*3</f>
        <v>88211.039066799218</v>
      </c>
      <c r="AB643" s="200">
        <f t="shared" si="724"/>
        <v>4.2883810845654828</v>
      </c>
      <c r="AC643" s="167">
        <f t="shared" si="725"/>
        <v>378282.55138392863</v>
      </c>
      <c r="AD643" s="164">
        <f>'Assumptions HR_AUN'!$D$4*3</f>
        <v>88211.039066799218</v>
      </c>
      <c r="AE643" s="200">
        <f t="shared" si="727"/>
        <v>4.2883810845654828</v>
      </c>
      <c r="AF643" s="167">
        <f t="shared" si="728"/>
        <v>378282.55138392863</v>
      </c>
      <c r="AG643" s="67"/>
    </row>
    <row r="644" spans="1:33">
      <c r="A644" s="134"/>
      <c r="B644" s="153">
        <v>7</v>
      </c>
      <c r="C644" s="121" t="s">
        <v>962</v>
      </c>
      <c r="D644" s="121"/>
      <c r="E644" s="121"/>
      <c r="F644" s="164"/>
      <c r="G644" s="185">
        <f>$C$14</f>
        <v>0.15</v>
      </c>
      <c r="H644" s="164">
        <f>SUM(H638:H642)*G644</f>
        <v>443.99360491071428</v>
      </c>
      <c r="I644" s="164">
        <f t="shared" ref="I644:K644" si="736">$H644*I$636</f>
        <v>567423.82707589283</v>
      </c>
      <c r="J644" s="164">
        <f t="shared" si="736"/>
        <v>567423.82707589283</v>
      </c>
      <c r="K644" s="164">
        <f t="shared" si="736"/>
        <v>567423.82707589283</v>
      </c>
      <c r="L644" s="111"/>
      <c r="M644" s="111"/>
      <c r="N644" s="111"/>
      <c r="O644" s="111"/>
      <c r="P644" s="111"/>
      <c r="Q644" s="111"/>
      <c r="R644" s="111"/>
      <c r="S644" s="712"/>
      <c r="T644" s="169" t="s">
        <v>946</v>
      </c>
      <c r="U644" s="169" t="s">
        <v>946</v>
      </c>
      <c r="V644" s="121" t="s">
        <v>881</v>
      </c>
      <c r="W644" s="121" t="s">
        <v>964</v>
      </c>
      <c r="X644" s="170">
        <f>I644/4</f>
        <v>141855.95676897321</v>
      </c>
      <c r="Y644" s="200">
        <f t="shared" si="721"/>
        <v>4</v>
      </c>
      <c r="Z644" s="167">
        <f t="shared" si="722"/>
        <v>567423.82707589283</v>
      </c>
      <c r="AA644" s="164">
        <f>J644/4</f>
        <v>141855.95676897321</v>
      </c>
      <c r="AB644" s="200">
        <f t="shared" si="724"/>
        <v>4</v>
      </c>
      <c r="AC644" s="167">
        <f t="shared" si="725"/>
        <v>567423.82707589283</v>
      </c>
      <c r="AD644" s="164">
        <f>K644/4</f>
        <v>141855.95676897321</v>
      </c>
      <c r="AE644" s="200">
        <f t="shared" si="727"/>
        <v>4</v>
      </c>
      <c r="AF644" s="167">
        <f t="shared" si="728"/>
        <v>567423.82707589283</v>
      </c>
      <c r="AG644" s="67"/>
    </row>
    <row r="645" spans="1:33">
      <c r="A645" s="134"/>
      <c r="B645" s="212" t="s">
        <v>770</v>
      </c>
      <c r="C645" s="212"/>
      <c r="D645" s="212"/>
      <c r="E645" s="212"/>
      <c r="F645" s="212"/>
      <c r="G645" s="178"/>
      <c r="H645" s="178">
        <f t="shared" ref="H645:K645" si="737">SUM(H638:H644)</f>
        <v>3699.9467075892858</v>
      </c>
      <c r="I645" s="178">
        <f t="shared" si="737"/>
        <v>4728531.8922991073</v>
      </c>
      <c r="J645" s="178">
        <f t="shared" si="737"/>
        <v>4728531.8922991073</v>
      </c>
      <c r="K645" s="178">
        <f t="shared" si="737"/>
        <v>4728531.8922991073</v>
      </c>
      <c r="L645" s="111"/>
      <c r="M645" s="111"/>
      <c r="N645" s="111"/>
      <c r="O645" s="111"/>
      <c r="P645" s="111"/>
      <c r="Q645" s="111"/>
      <c r="R645" s="111"/>
      <c r="S645" s="712"/>
      <c r="T645" s="111"/>
      <c r="U645" s="111"/>
      <c r="V645" s="111"/>
      <c r="W645" s="111"/>
      <c r="X645" s="132"/>
      <c r="Y645" s="133"/>
      <c r="Z645" s="132"/>
      <c r="AA645" s="132"/>
      <c r="AB645" s="133"/>
      <c r="AC645" s="132"/>
      <c r="AD645" s="132"/>
      <c r="AE645" s="133"/>
      <c r="AF645" s="132"/>
      <c r="AG645" s="67"/>
    </row>
    <row r="646" spans="1:33">
      <c r="A646" s="9"/>
      <c r="B646" s="111"/>
      <c r="C646" s="111"/>
      <c r="D646" s="111"/>
      <c r="E646" s="111"/>
      <c r="F646" s="111"/>
      <c r="G646" s="111"/>
      <c r="H646" s="111"/>
      <c r="I646" s="111"/>
      <c r="J646" s="111"/>
      <c r="K646" s="111"/>
      <c r="L646" s="111"/>
      <c r="M646" s="111"/>
      <c r="N646" s="111"/>
      <c r="O646" s="111"/>
      <c r="P646" s="111"/>
      <c r="Q646" s="111"/>
      <c r="R646" s="111"/>
      <c r="S646" s="712"/>
      <c r="T646" s="111"/>
      <c r="U646" s="111"/>
      <c r="V646" s="111"/>
      <c r="W646" s="111"/>
      <c r="X646" s="132"/>
      <c r="Y646" s="111"/>
      <c r="Z646" s="111"/>
      <c r="AA646" s="111"/>
      <c r="AB646" s="111"/>
      <c r="AC646" s="111"/>
      <c r="AD646" s="111"/>
      <c r="AE646" s="111"/>
      <c r="AF646" s="111"/>
      <c r="AG646" s="67"/>
    </row>
    <row r="647" spans="1:33">
      <c r="A647" s="9"/>
      <c r="B647" s="111"/>
      <c r="C647" s="111"/>
      <c r="D647" s="111"/>
      <c r="E647" s="111"/>
      <c r="F647" s="111"/>
      <c r="G647" s="111"/>
      <c r="H647" s="132"/>
      <c r="I647" s="191" t="s">
        <v>1119</v>
      </c>
      <c r="J647" s="132"/>
      <c r="K647" s="132"/>
      <c r="L647" s="132"/>
      <c r="M647" s="111"/>
      <c r="N647" s="111"/>
      <c r="O647" s="111"/>
      <c r="P647" s="111"/>
      <c r="Q647" s="111"/>
      <c r="R647" s="111"/>
      <c r="S647" s="712"/>
      <c r="T647" s="111"/>
      <c r="U647" s="111"/>
      <c r="V647" s="111"/>
      <c r="W647" s="111"/>
      <c r="X647" s="132"/>
      <c r="Y647" s="111"/>
      <c r="Z647" s="111"/>
      <c r="AA647" s="111"/>
      <c r="AB647" s="111"/>
      <c r="AC647" s="111"/>
      <c r="AD647" s="111"/>
      <c r="AE647" s="111"/>
      <c r="AF647" s="111"/>
      <c r="AG647" s="67"/>
    </row>
    <row r="648" spans="1:33">
      <c r="A648" s="725">
        <v>36</v>
      </c>
      <c r="B648" s="726" t="e" vm="1">
        <f>'[2]AUN Budget'!$E$167</f>
        <v>#VALUE!</v>
      </c>
      <c r="C648" s="731"/>
      <c r="D648" s="731"/>
      <c r="E648" s="731"/>
      <c r="F648" s="731"/>
      <c r="G648" s="731"/>
      <c r="H648" s="731"/>
      <c r="I648" s="216">
        <v>650</v>
      </c>
      <c r="J648" s="216">
        <v>650</v>
      </c>
      <c r="K648" s="216">
        <v>650</v>
      </c>
      <c r="L648" s="111"/>
      <c r="M648" s="111"/>
      <c r="N648" s="111"/>
      <c r="O648" s="111"/>
      <c r="P648" s="111"/>
      <c r="Q648" s="111"/>
      <c r="R648" s="111"/>
      <c r="S648" s="712"/>
      <c r="T648" s="111"/>
      <c r="U648" s="111"/>
      <c r="V648" s="111"/>
      <c r="W648" s="111"/>
      <c r="X648" s="132"/>
      <c r="Y648" s="133"/>
      <c r="Z648" s="132"/>
      <c r="AA648" s="132"/>
      <c r="AB648" s="133"/>
      <c r="AC648" s="132"/>
      <c r="AD648" s="132"/>
      <c r="AE648" s="133"/>
      <c r="AF648" s="132"/>
      <c r="AG648" s="67"/>
    </row>
    <row r="649" spans="1:33">
      <c r="A649" s="157" t="s">
        <v>1272</v>
      </c>
      <c r="B649" s="113" t="s">
        <v>755</v>
      </c>
      <c r="C649" s="113" t="s">
        <v>966</v>
      </c>
      <c r="D649" s="113" t="s">
        <v>967</v>
      </c>
      <c r="E649" s="113" t="s">
        <v>968</v>
      </c>
      <c r="F649" s="113" t="s">
        <v>969</v>
      </c>
      <c r="G649" s="113" t="s">
        <v>970</v>
      </c>
      <c r="H649" s="113" t="s">
        <v>971</v>
      </c>
      <c r="I649" s="113" t="s">
        <v>972</v>
      </c>
      <c r="J649" s="113" t="s">
        <v>973</v>
      </c>
      <c r="K649" s="113" t="s">
        <v>974</v>
      </c>
      <c r="L649" s="111"/>
      <c r="M649" s="111"/>
      <c r="N649" s="111"/>
      <c r="O649" s="111"/>
      <c r="P649" s="182"/>
      <c r="Q649" s="182"/>
      <c r="R649" s="182"/>
      <c r="S649" s="727"/>
      <c r="T649" s="159" t="s">
        <v>387</v>
      </c>
      <c r="U649" s="159" t="s">
        <v>388</v>
      </c>
      <c r="V649" s="159" t="s">
        <v>934</v>
      </c>
      <c r="W649" s="160" t="s">
        <v>935</v>
      </c>
      <c r="X649" s="161" t="s">
        <v>936</v>
      </c>
      <c r="Y649" s="162" t="s">
        <v>937</v>
      </c>
      <c r="Z649" s="161" t="s">
        <v>938</v>
      </c>
      <c r="AA649" s="161" t="s">
        <v>939</v>
      </c>
      <c r="AB649" s="162" t="s">
        <v>940</v>
      </c>
      <c r="AC649" s="161" t="s">
        <v>941</v>
      </c>
      <c r="AD649" s="161" t="s">
        <v>942</v>
      </c>
      <c r="AE649" s="162" t="s">
        <v>943</v>
      </c>
      <c r="AF649" s="161" t="s">
        <v>944</v>
      </c>
      <c r="AG649" s="67"/>
    </row>
    <row r="650" spans="1:33">
      <c r="A650" s="134"/>
      <c r="B650" s="153">
        <v>1</v>
      </c>
      <c r="C650" s="121" t="s">
        <v>978</v>
      </c>
      <c r="D650" s="121" t="s">
        <v>1273</v>
      </c>
      <c r="E650" s="209">
        <v>1</v>
      </c>
      <c r="F650" s="164">
        <v>1</v>
      </c>
      <c r="G650" s="164">
        <f>'Assumptions HR_AUN'!$F$8</f>
        <v>80.053187003968247</v>
      </c>
      <c r="H650" s="164">
        <f t="shared" ref="H650:H654" si="738">E650*F650*G650</f>
        <v>80.053187003968247</v>
      </c>
      <c r="I650" s="164">
        <f t="shared" ref="I650:K650" si="739">$H650*I$648</f>
        <v>52034.571552579364</v>
      </c>
      <c r="J650" s="164">
        <f t="shared" si="739"/>
        <v>52034.571552579364</v>
      </c>
      <c r="K650" s="164">
        <f t="shared" si="739"/>
        <v>52034.571552579364</v>
      </c>
      <c r="L650" s="111"/>
      <c r="M650" s="111"/>
      <c r="N650" s="111"/>
      <c r="O650" s="111"/>
      <c r="P650" s="111"/>
      <c r="Q650" s="111"/>
      <c r="R650" s="111"/>
      <c r="S650" s="712"/>
      <c r="T650" s="169" t="s">
        <v>946</v>
      </c>
      <c r="U650" s="169" t="s">
        <v>946</v>
      </c>
      <c r="V650" s="121" t="s">
        <v>977</v>
      </c>
      <c r="W650" s="121" t="s">
        <v>961</v>
      </c>
      <c r="X650" s="170">
        <f t="shared" ref="X650:X654" si="740">G650*$D$35*$D$36</f>
        <v>40346.806249999994</v>
      </c>
      <c r="Y650" s="200">
        <f t="shared" ref="Y650:Y660" si="741">I650/X650</f>
        <v>1.2896825396825398</v>
      </c>
      <c r="Z650" s="167">
        <f t="shared" ref="Z650:Z660" si="742">X650*Y650</f>
        <v>52034.571552579364</v>
      </c>
      <c r="AA650" s="164">
        <f t="shared" ref="AA650:AA659" si="743">X650</f>
        <v>40346.806249999994</v>
      </c>
      <c r="AB650" s="200">
        <f t="shared" ref="AB650:AB660" si="744">J650/AA650</f>
        <v>1.2896825396825398</v>
      </c>
      <c r="AC650" s="167">
        <f t="shared" ref="AC650:AC660" si="745">AA650*AB650</f>
        <v>52034.571552579364</v>
      </c>
      <c r="AD650" s="164">
        <f t="shared" ref="AD650:AD660" si="746">AA650</f>
        <v>40346.806249999994</v>
      </c>
      <c r="AE650" s="200">
        <f t="shared" ref="AE650:AE660" si="747">K650/AD650</f>
        <v>1.2896825396825398</v>
      </c>
      <c r="AF650" s="167">
        <f t="shared" ref="AF650:AF660" si="748">AD650*AE650</f>
        <v>52034.571552579364</v>
      </c>
      <c r="AG650" s="67"/>
    </row>
    <row r="651" spans="1:33">
      <c r="A651" s="134"/>
      <c r="B651" s="153">
        <v>2</v>
      </c>
      <c r="C651" s="121" t="s">
        <v>978</v>
      </c>
      <c r="D651" s="121" t="s">
        <v>1274</v>
      </c>
      <c r="E651" s="209">
        <v>1</v>
      </c>
      <c r="F651" s="164">
        <v>2</v>
      </c>
      <c r="G651" s="164">
        <f>'Assumptions HR_AUN'!$F$8</f>
        <v>80.053187003968247</v>
      </c>
      <c r="H651" s="164">
        <f t="shared" si="738"/>
        <v>160.10637400793649</v>
      </c>
      <c r="I651" s="164">
        <f t="shared" ref="I651:K651" si="749">$H651*I$648</f>
        <v>104069.14310515873</v>
      </c>
      <c r="J651" s="164">
        <f t="shared" si="749"/>
        <v>104069.14310515873</v>
      </c>
      <c r="K651" s="164">
        <f t="shared" si="749"/>
        <v>104069.14310515873</v>
      </c>
      <c r="L651" s="111"/>
      <c r="M651" s="111"/>
      <c r="N651" s="111"/>
      <c r="O651" s="111"/>
      <c r="P651" s="111"/>
      <c r="Q651" s="111"/>
      <c r="R651" s="111"/>
      <c r="S651" s="712"/>
      <c r="T651" s="169" t="s">
        <v>946</v>
      </c>
      <c r="U651" s="169" t="s">
        <v>946</v>
      </c>
      <c r="V651" s="121" t="s">
        <v>977</v>
      </c>
      <c r="W651" s="121" t="s">
        <v>961</v>
      </c>
      <c r="X651" s="170">
        <f t="shared" si="740"/>
        <v>40346.806249999994</v>
      </c>
      <c r="Y651" s="200">
        <f t="shared" si="741"/>
        <v>2.5793650793650795</v>
      </c>
      <c r="Z651" s="167">
        <f t="shared" si="742"/>
        <v>104069.14310515873</v>
      </c>
      <c r="AA651" s="164">
        <f t="shared" si="743"/>
        <v>40346.806249999994</v>
      </c>
      <c r="AB651" s="200">
        <f t="shared" si="744"/>
        <v>2.5793650793650795</v>
      </c>
      <c r="AC651" s="167">
        <f t="shared" si="745"/>
        <v>104069.14310515873</v>
      </c>
      <c r="AD651" s="164">
        <f t="shared" si="746"/>
        <v>40346.806249999994</v>
      </c>
      <c r="AE651" s="200">
        <f t="shared" si="747"/>
        <v>2.5793650793650795</v>
      </c>
      <c r="AF651" s="167">
        <f t="shared" si="748"/>
        <v>104069.14310515873</v>
      </c>
      <c r="AG651" s="67"/>
    </row>
    <row r="652" spans="1:33">
      <c r="A652" s="134"/>
      <c r="B652" s="153">
        <v>3</v>
      </c>
      <c r="C652" s="121" t="s">
        <v>978</v>
      </c>
      <c r="D652" s="121" t="s">
        <v>1275</v>
      </c>
      <c r="E652" s="209">
        <v>1.5</v>
      </c>
      <c r="F652" s="164">
        <v>1</v>
      </c>
      <c r="G652" s="164">
        <f>'Assumptions HR_AUN'!$F$8</f>
        <v>80.053187003968247</v>
      </c>
      <c r="H652" s="164">
        <f t="shared" si="738"/>
        <v>120.07978050595237</v>
      </c>
      <c r="I652" s="164">
        <f t="shared" ref="I652:K652" si="750">$H652*I$648</f>
        <v>78051.857328869039</v>
      </c>
      <c r="J652" s="164">
        <f t="shared" si="750"/>
        <v>78051.857328869039</v>
      </c>
      <c r="K652" s="164">
        <f t="shared" si="750"/>
        <v>78051.857328869039</v>
      </c>
      <c r="L652" s="111"/>
      <c r="M652" s="111"/>
      <c r="N652" s="111"/>
      <c r="O652" s="111"/>
      <c r="P652" s="111"/>
      <c r="Q652" s="111"/>
      <c r="R652" s="111"/>
      <c r="S652" s="712"/>
      <c r="T652" s="169" t="s">
        <v>946</v>
      </c>
      <c r="U652" s="169" t="s">
        <v>946</v>
      </c>
      <c r="V652" s="121" t="s">
        <v>977</v>
      </c>
      <c r="W652" s="121" t="s">
        <v>961</v>
      </c>
      <c r="X652" s="170">
        <f t="shared" si="740"/>
        <v>40346.806249999994</v>
      </c>
      <c r="Y652" s="200">
        <f t="shared" si="741"/>
        <v>1.9345238095238095</v>
      </c>
      <c r="Z652" s="167">
        <f t="shared" si="742"/>
        <v>78051.857328869039</v>
      </c>
      <c r="AA652" s="164">
        <f t="shared" si="743"/>
        <v>40346.806249999994</v>
      </c>
      <c r="AB652" s="200">
        <f t="shared" si="744"/>
        <v>1.9345238095238095</v>
      </c>
      <c r="AC652" s="167">
        <f t="shared" si="745"/>
        <v>78051.857328869039</v>
      </c>
      <c r="AD652" s="164">
        <f t="shared" si="746"/>
        <v>40346.806249999994</v>
      </c>
      <c r="AE652" s="200">
        <f t="shared" si="747"/>
        <v>1.9345238095238095</v>
      </c>
      <c r="AF652" s="167">
        <f t="shared" si="748"/>
        <v>78051.857328869039</v>
      </c>
      <c r="AG652" s="67"/>
    </row>
    <row r="653" spans="1:33">
      <c r="A653" s="134"/>
      <c r="B653" s="153">
        <v>4</v>
      </c>
      <c r="C653" s="121" t="s">
        <v>978</v>
      </c>
      <c r="D653" s="121" t="s">
        <v>1276</v>
      </c>
      <c r="E653" s="209">
        <v>1</v>
      </c>
      <c r="F653" s="164">
        <v>2</v>
      </c>
      <c r="G653" s="164">
        <f>'Assumptions HR_AUN'!$F$8</f>
        <v>80.053187003968247</v>
      </c>
      <c r="H653" s="164">
        <f t="shared" si="738"/>
        <v>160.10637400793649</v>
      </c>
      <c r="I653" s="164">
        <f t="shared" ref="I653:K653" si="751">$H653*I$648</f>
        <v>104069.14310515873</v>
      </c>
      <c r="J653" s="164">
        <f t="shared" si="751"/>
        <v>104069.14310515873</v>
      </c>
      <c r="K653" s="164">
        <f t="shared" si="751"/>
        <v>104069.14310515873</v>
      </c>
      <c r="L653" s="111"/>
      <c r="M653" s="111"/>
      <c r="N653" s="111"/>
      <c r="O653" s="111"/>
      <c r="P653" s="111"/>
      <c r="Q653" s="111"/>
      <c r="R653" s="111"/>
      <c r="S653" s="712"/>
      <c r="T653" s="169" t="s">
        <v>946</v>
      </c>
      <c r="U653" s="169" t="s">
        <v>946</v>
      </c>
      <c r="V653" s="121" t="s">
        <v>977</v>
      </c>
      <c r="W653" s="121" t="s">
        <v>961</v>
      </c>
      <c r="X653" s="170">
        <f t="shared" si="740"/>
        <v>40346.806249999994</v>
      </c>
      <c r="Y653" s="200">
        <f t="shared" si="741"/>
        <v>2.5793650793650795</v>
      </c>
      <c r="Z653" s="167">
        <f t="shared" si="742"/>
        <v>104069.14310515873</v>
      </c>
      <c r="AA653" s="164">
        <f t="shared" si="743"/>
        <v>40346.806249999994</v>
      </c>
      <c r="AB653" s="200">
        <f t="shared" si="744"/>
        <v>2.5793650793650795</v>
      </c>
      <c r="AC653" s="167">
        <f t="shared" si="745"/>
        <v>104069.14310515873</v>
      </c>
      <c r="AD653" s="164">
        <f t="shared" si="746"/>
        <v>40346.806249999994</v>
      </c>
      <c r="AE653" s="200">
        <f t="shared" si="747"/>
        <v>2.5793650793650795</v>
      </c>
      <c r="AF653" s="167">
        <f t="shared" si="748"/>
        <v>104069.14310515873</v>
      </c>
      <c r="AG653" s="67"/>
    </row>
    <row r="654" spans="1:33">
      <c r="A654" s="134"/>
      <c r="B654" s="153">
        <v>5</v>
      </c>
      <c r="C654" s="121" t="s">
        <v>992</v>
      </c>
      <c r="D654" s="121" t="s">
        <v>1277</v>
      </c>
      <c r="E654" s="209">
        <v>1</v>
      </c>
      <c r="F654" s="164">
        <v>1</v>
      </c>
      <c r="G654" s="164">
        <f>'Assumptions HR_AUN'!$F$8</f>
        <v>80.053187003968247</v>
      </c>
      <c r="H654" s="164">
        <f t="shared" si="738"/>
        <v>80.053187003968247</v>
      </c>
      <c r="I654" s="164">
        <f t="shared" ref="I654:K654" si="752">$H654*I$648</f>
        <v>52034.571552579364</v>
      </c>
      <c r="J654" s="164">
        <f t="shared" si="752"/>
        <v>52034.571552579364</v>
      </c>
      <c r="K654" s="164">
        <f t="shared" si="752"/>
        <v>52034.571552579364</v>
      </c>
      <c r="L654" s="111"/>
      <c r="M654" s="111"/>
      <c r="N654" s="111"/>
      <c r="O654" s="111"/>
      <c r="P654" s="111"/>
      <c r="Q654" s="111"/>
      <c r="R654" s="111"/>
      <c r="S654" s="712"/>
      <c r="T654" s="169" t="s">
        <v>946</v>
      </c>
      <c r="U654" s="169" t="s">
        <v>946</v>
      </c>
      <c r="V654" s="121" t="s">
        <v>977</v>
      </c>
      <c r="W654" s="121" t="s">
        <v>961</v>
      </c>
      <c r="X654" s="170">
        <f t="shared" si="740"/>
        <v>40346.806249999994</v>
      </c>
      <c r="Y654" s="200">
        <f t="shared" si="741"/>
        <v>1.2896825396825398</v>
      </c>
      <c r="Z654" s="167">
        <f t="shared" si="742"/>
        <v>52034.571552579364</v>
      </c>
      <c r="AA654" s="164">
        <f t="shared" si="743"/>
        <v>40346.806249999994</v>
      </c>
      <c r="AB654" s="200">
        <f t="shared" si="744"/>
        <v>1.2896825396825398</v>
      </c>
      <c r="AC654" s="167">
        <f t="shared" si="745"/>
        <v>52034.571552579364</v>
      </c>
      <c r="AD654" s="164">
        <f t="shared" si="746"/>
        <v>40346.806249999994</v>
      </c>
      <c r="AE654" s="200">
        <f t="shared" si="747"/>
        <v>1.2896825396825398</v>
      </c>
      <c r="AF654" s="167">
        <f t="shared" si="748"/>
        <v>52034.571552579364</v>
      </c>
      <c r="AG654" s="67"/>
    </row>
    <row r="655" spans="1:33">
      <c r="A655" s="134"/>
      <c r="B655" s="153">
        <v>6</v>
      </c>
      <c r="C655" s="121" t="s">
        <v>987</v>
      </c>
      <c r="D655" s="121" t="s">
        <v>1278</v>
      </c>
      <c r="E655" s="209"/>
      <c r="F655" s="164">
        <v>2</v>
      </c>
      <c r="G655" s="164">
        <f>$D$19</f>
        <v>244</v>
      </c>
      <c r="H655" s="164">
        <f t="shared" ref="H655:H656" si="753">G655*F655</f>
        <v>488</v>
      </c>
      <c r="I655" s="164">
        <f t="shared" ref="I655:K655" si="754">$H655*I$648</f>
        <v>317200</v>
      </c>
      <c r="J655" s="164">
        <f t="shared" si="754"/>
        <v>317200</v>
      </c>
      <c r="K655" s="164">
        <f t="shared" si="754"/>
        <v>317200</v>
      </c>
      <c r="L655" s="111"/>
      <c r="M655" s="111"/>
      <c r="N655" s="111"/>
      <c r="O655" s="111"/>
      <c r="P655" s="111"/>
      <c r="Q655" s="111"/>
      <c r="R655" s="111"/>
      <c r="S655" s="712"/>
      <c r="T655" s="169" t="s">
        <v>946</v>
      </c>
      <c r="U655" s="169" t="s">
        <v>946</v>
      </c>
      <c r="V655" s="121" t="s">
        <v>989</v>
      </c>
      <c r="W655" s="121" t="s">
        <v>789</v>
      </c>
      <c r="X655" s="170">
        <f t="shared" ref="X655:X656" si="755">G655</f>
        <v>244</v>
      </c>
      <c r="Y655" s="200">
        <f t="shared" si="741"/>
        <v>1300</v>
      </c>
      <c r="Z655" s="167">
        <f t="shared" si="742"/>
        <v>317200</v>
      </c>
      <c r="AA655" s="164">
        <f t="shared" si="743"/>
        <v>244</v>
      </c>
      <c r="AB655" s="200">
        <f t="shared" si="744"/>
        <v>1300</v>
      </c>
      <c r="AC655" s="167">
        <f t="shared" si="745"/>
        <v>317200</v>
      </c>
      <c r="AD655" s="164">
        <f t="shared" si="746"/>
        <v>244</v>
      </c>
      <c r="AE655" s="200">
        <f t="shared" si="747"/>
        <v>1300</v>
      </c>
      <c r="AF655" s="167">
        <f t="shared" si="748"/>
        <v>317200</v>
      </c>
      <c r="AG655" s="67"/>
    </row>
    <row r="656" spans="1:33">
      <c r="A656" s="134"/>
      <c r="B656" s="153">
        <v>7</v>
      </c>
      <c r="C656" s="121" t="s">
        <v>997</v>
      </c>
      <c r="D656" s="121" t="s">
        <v>1279</v>
      </c>
      <c r="E656" s="209"/>
      <c r="F656" s="164">
        <v>6</v>
      </c>
      <c r="G656" s="164">
        <f>'Assumptions Other_AUN'!$D$32</f>
        <v>60</v>
      </c>
      <c r="H656" s="164">
        <f t="shared" si="753"/>
        <v>360</v>
      </c>
      <c r="I656" s="164">
        <f t="shared" ref="I656:K656" si="756">$H656*I$648</f>
        <v>234000</v>
      </c>
      <c r="J656" s="164">
        <f t="shared" si="756"/>
        <v>234000</v>
      </c>
      <c r="K656" s="164">
        <f t="shared" si="756"/>
        <v>234000</v>
      </c>
      <c r="L656" s="111"/>
      <c r="M656" s="111"/>
      <c r="N656" s="111"/>
      <c r="O656" s="111"/>
      <c r="P656" s="111"/>
      <c r="Q656" s="111"/>
      <c r="R656" s="111"/>
      <c r="S656" s="712"/>
      <c r="T656" s="169" t="s">
        <v>946</v>
      </c>
      <c r="U656" s="169" t="s">
        <v>946</v>
      </c>
      <c r="V656" s="121" t="s">
        <v>957</v>
      </c>
      <c r="W656" s="121" t="s">
        <v>789</v>
      </c>
      <c r="X656" s="170">
        <f t="shared" si="755"/>
        <v>60</v>
      </c>
      <c r="Y656" s="200">
        <f t="shared" si="741"/>
        <v>3900</v>
      </c>
      <c r="Z656" s="167">
        <f t="shared" si="742"/>
        <v>234000</v>
      </c>
      <c r="AA656" s="164">
        <f t="shared" si="743"/>
        <v>60</v>
      </c>
      <c r="AB656" s="200">
        <f t="shared" si="744"/>
        <v>3900</v>
      </c>
      <c r="AC656" s="167">
        <f t="shared" si="745"/>
        <v>234000</v>
      </c>
      <c r="AD656" s="164">
        <f t="shared" si="746"/>
        <v>60</v>
      </c>
      <c r="AE656" s="200">
        <f t="shared" si="747"/>
        <v>3900</v>
      </c>
      <c r="AF656" s="167">
        <f t="shared" si="748"/>
        <v>234000</v>
      </c>
      <c r="AG656" s="67"/>
    </row>
    <row r="657" spans="1:33">
      <c r="A657" s="134"/>
      <c r="B657" s="153">
        <v>8</v>
      </c>
      <c r="C657" s="121" t="s">
        <v>978</v>
      </c>
      <c r="D657" s="121" t="s">
        <v>1280</v>
      </c>
      <c r="E657" s="209">
        <v>1</v>
      </c>
      <c r="F657" s="164">
        <v>1</v>
      </c>
      <c r="G657" s="164">
        <f>'Assumptions HR_AUN'!$F$8</f>
        <v>80.053187003968247</v>
      </c>
      <c r="H657" s="164">
        <f t="shared" ref="H657:H658" si="757">E657*F657*G657</f>
        <v>80.053187003968247</v>
      </c>
      <c r="I657" s="164">
        <f t="shared" ref="I657:K657" si="758">$H657*I$648</f>
        <v>52034.571552579364</v>
      </c>
      <c r="J657" s="164">
        <f t="shared" si="758"/>
        <v>52034.571552579364</v>
      </c>
      <c r="K657" s="164">
        <f t="shared" si="758"/>
        <v>52034.571552579364</v>
      </c>
      <c r="L657" s="111"/>
      <c r="M657" s="111"/>
      <c r="N657" s="111"/>
      <c r="O657" s="111"/>
      <c r="P657" s="111"/>
      <c r="Q657" s="111"/>
      <c r="R657" s="111"/>
      <c r="S657" s="712"/>
      <c r="T657" s="169" t="s">
        <v>946</v>
      </c>
      <c r="U657" s="169" t="s">
        <v>946</v>
      </c>
      <c r="V657" s="121" t="s">
        <v>977</v>
      </c>
      <c r="W657" s="121" t="s">
        <v>961</v>
      </c>
      <c r="X657" s="170">
        <f>G657*$D$35*$D$36</f>
        <v>40346.806249999994</v>
      </c>
      <c r="Y657" s="200">
        <f t="shared" si="741"/>
        <v>1.2896825396825398</v>
      </c>
      <c r="Z657" s="167">
        <f t="shared" si="742"/>
        <v>52034.571552579364</v>
      </c>
      <c r="AA657" s="164">
        <f t="shared" si="743"/>
        <v>40346.806249999994</v>
      </c>
      <c r="AB657" s="200">
        <f t="shared" si="744"/>
        <v>1.2896825396825398</v>
      </c>
      <c r="AC657" s="167">
        <f t="shared" si="745"/>
        <v>52034.571552579364</v>
      </c>
      <c r="AD657" s="164">
        <f t="shared" si="746"/>
        <v>40346.806249999994</v>
      </c>
      <c r="AE657" s="200">
        <f t="shared" si="747"/>
        <v>1.2896825396825398</v>
      </c>
      <c r="AF657" s="167">
        <f t="shared" si="748"/>
        <v>52034.571552579364</v>
      </c>
      <c r="AG657" s="67"/>
    </row>
    <row r="658" spans="1:33">
      <c r="A658" s="134"/>
      <c r="B658" s="153">
        <v>9</v>
      </c>
      <c r="C658" s="121" t="s">
        <v>978</v>
      </c>
      <c r="D658" s="121" t="s">
        <v>1281</v>
      </c>
      <c r="E658" s="209">
        <v>1</v>
      </c>
      <c r="F658" s="164">
        <v>2</v>
      </c>
      <c r="G658" s="164">
        <f>'Assumptions HR_AUN'!$F$4</f>
        <v>175.0219029103159</v>
      </c>
      <c r="H658" s="164">
        <f t="shared" si="757"/>
        <v>350.0438058206318</v>
      </c>
      <c r="I658" s="164">
        <f t="shared" ref="I658:K658" si="759">$H658*I$648</f>
        <v>227528.47378341068</v>
      </c>
      <c r="J658" s="164">
        <f t="shared" si="759"/>
        <v>227528.47378341068</v>
      </c>
      <c r="K658" s="164">
        <f t="shared" si="759"/>
        <v>227528.47378341068</v>
      </c>
      <c r="L658" s="111"/>
      <c r="M658" s="111"/>
      <c r="N658" s="111"/>
      <c r="O658" s="111"/>
      <c r="P658" s="111"/>
      <c r="Q658" s="111"/>
      <c r="R658" s="111"/>
      <c r="S658" s="712"/>
      <c r="T658" s="169" t="s">
        <v>946</v>
      </c>
      <c r="U658" s="169" t="s">
        <v>946</v>
      </c>
      <c r="V658" s="121" t="s">
        <v>848</v>
      </c>
      <c r="W658" s="164" t="s">
        <v>947</v>
      </c>
      <c r="X658" s="170">
        <f>G658*$D$35*$D$36/20</f>
        <v>4410.5519533399611</v>
      </c>
      <c r="Y658" s="200">
        <f t="shared" si="741"/>
        <v>51.587301587301582</v>
      </c>
      <c r="Z658" s="167">
        <f t="shared" si="742"/>
        <v>227528.47378341068</v>
      </c>
      <c r="AA658" s="164">
        <f t="shared" si="743"/>
        <v>4410.5519533399611</v>
      </c>
      <c r="AB658" s="200">
        <f t="shared" si="744"/>
        <v>51.587301587301582</v>
      </c>
      <c r="AC658" s="167">
        <f t="shared" si="745"/>
        <v>227528.47378341068</v>
      </c>
      <c r="AD658" s="164">
        <f t="shared" si="746"/>
        <v>4410.5519533399611</v>
      </c>
      <c r="AE658" s="200">
        <f t="shared" si="747"/>
        <v>51.587301587301582</v>
      </c>
      <c r="AF658" s="167">
        <f t="shared" si="748"/>
        <v>227528.47378341068</v>
      </c>
      <c r="AG658" s="67"/>
    </row>
    <row r="659" spans="1:33">
      <c r="A659" s="134"/>
      <c r="B659" s="153">
        <v>10</v>
      </c>
      <c r="C659" s="121" t="s">
        <v>1001</v>
      </c>
      <c r="D659" s="121"/>
      <c r="E659" s="121"/>
      <c r="F659" s="164"/>
      <c r="G659" s="185">
        <f>$C$13</f>
        <v>0.1</v>
      </c>
      <c r="H659" s="164">
        <f>SUM(H650:H658)*G659</f>
        <v>187.84958953543622</v>
      </c>
      <c r="I659" s="164">
        <f t="shared" ref="I659:K659" si="760">$H659*I$648</f>
        <v>122102.23319803354</v>
      </c>
      <c r="J659" s="164">
        <f t="shared" si="760"/>
        <v>122102.23319803354</v>
      </c>
      <c r="K659" s="164">
        <f t="shared" si="760"/>
        <v>122102.23319803354</v>
      </c>
      <c r="L659" s="111"/>
      <c r="M659" s="111"/>
      <c r="N659" s="111"/>
      <c r="O659" s="111"/>
      <c r="P659" s="111"/>
      <c r="Q659" s="111"/>
      <c r="R659" s="111"/>
      <c r="S659" s="712"/>
      <c r="T659" s="169" t="s">
        <v>946</v>
      </c>
      <c r="U659" s="169" t="s">
        <v>946</v>
      </c>
      <c r="V659" s="121" t="s">
        <v>875</v>
      </c>
      <c r="W659" s="121" t="s">
        <v>961</v>
      </c>
      <c r="X659" s="170">
        <f>'Assumptions HR_AUN'!$D$4*3</f>
        <v>88211.039066799218</v>
      </c>
      <c r="Y659" s="200">
        <f t="shared" si="741"/>
        <v>1.3842058147118035</v>
      </c>
      <c r="Z659" s="167">
        <f t="shared" si="742"/>
        <v>122102.23319803354</v>
      </c>
      <c r="AA659" s="164">
        <f t="shared" si="743"/>
        <v>88211.039066799218</v>
      </c>
      <c r="AB659" s="200">
        <f t="shared" si="744"/>
        <v>1.3842058147118035</v>
      </c>
      <c r="AC659" s="167">
        <f t="shared" si="745"/>
        <v>122102.23319803354</v>
      </c>
      <c r="AD659" s="164">
        <f t="shared" si="746"/>
        <v>88211.039066799218</v>
      </c>
      <c r="AE659" s="200">
        <f t="shared" si="747"/>
        <v>1.3842058147118035</v>
      </c>
      <c r="AF659" s="167">
        <f t="shared" si="748"/>
        <v>122102.23319803354</v>
      </c>
      <c r="AG659" s="67"/>
    </row>
    <row r="660" spans="1:33">
      <c r="A660" s="134"/>
      <c r="B660" s="153">
        <v>11</v>
      </c>
      <c r="C660" s="121" t="s">
        <v>962</v>
      </c>
      <c r="D660" s="121"/>
      <c r="E660" s="121"/>
      <c r="F660" s="121"/>
      <c r="G660" s="185">
        <f>$C$14</f>
        <v>0.15</v>
      </c>
      <c r="H660" s="164">
        <f>SUM(H650:H658)*G660</f>
        <v>281.77438430315431</v>
      </c>
      <c r="I660" s="164">
        <f t="shared" ref="I660:K660" si="761">$H660*I$648</f>
        <v>183153.34979705029</v>
      </c>
      <c r="J660" s="164">
        <f t="shared" si="761"/>
        <v>183153.34979705029</v>
      </c>
      <c r="K660" s="164">
        <f t="shared" si="761"/>
        <v>183153.34979705029</v>
      </c>
      <c r="L660" s="111"/>
      <c r="M660" s="111"/>
      <c r="N660" s="111"/>
      <c r="O660" s="111"/>
      <c r="P660" s="111"/>
      <c r="Q660" s="111"/>
      <c r="R660" s="111"/>
      <c r="S660" s="712"/>
      <c r="T660" s="169" t="s">
        <v>946</v>
      </c>
      <c r="U660" s="169" t="s">
        <v>946</v>
      </c>
      <c r="V660" s="121" t="s">
        <v>881</v>
      </c>
      <c r="W660" s="121" t="s">
        <v>964</v>
      </c>
      <c r="X660" s="170">
        <f>I660/4</f>
        <v>45788.337449262574</v>
      </c>
      <c r="Y660" s="200">
        <f t="shared" si="741"/>
        <v>4</v>
      </c>
      <c r="Z660" s="167">
        <f t="shared" si="742"/>
        <v>183153.34979705029</v>
      </c>
      <c r="AA660" s="164">
        <f>J660/4</f>
        <v>45788.337449262574</v>
      </c>
      <c r="AB660" s="200">
        <f t="shared" si="744"/>
        <v>4</v>
      </c>
      <c r="AC660" s="167">
        <f t="shared" si="745"/>
        <v>183153.34979705029</v>
      </c>
      <c r="AD660" s="164">
        <f t="shared" si="746"/>
        <v>45788.337449262574</v>
      </c>
      <c r="AE660" s="200">
        <f t="shared" si="747"/>
        <v>4</v>
      </c>
      <c r="AF660" s="167">
        <f t="shared" si="748"/>
        <v>183153.34979705029</v>
      </c>
      <c r="AG660" s="67"/>
    </row>
    <row r="661" spans="1:33">
      <c r="A661" s="134"/>
      <c r="B661" s="212" t="s">
        <v>770</v>
      </c>
      <c r="C661" s="212"/>
      <c r="D661" s="212"/>
      <c r="E661" s="212"/>
      <c r="F661" s="212"/>
      <c r="G661" s="178"/>
      <c r="H661" s="178">
        <f t="shared" ref="H661:K661" si="762">SUM(H650:H660)</f>
        <v>2348.1198691929526</v>
      </c>
      <c r="I661" s="178">
        <f t="shared" si="762"/>
        <v>1526277.9149754192</v>
      </c>
      <c r="J661" s="178">
        <f t="shared" si="762"/>
        <v>1526277.9149754192</v>
      </c>
      <c r="K661" s="178">
        <f t="shared" si="762"/>
        <v>1526277.9149754192</v>
      </c>
      <c r="L661" s="111"/>
      <c r="M661" s="111"/>
      <c r="N661" s="111"/>
      <c r="O661" s="111"/>
      <c r="P661" s="111"/>
      <c r="Q661" s="111"/>
      <c r="R661" s="111"/>
      <c r="S661" s="712"/>
      <c r="T661" s="111"/>
      <c r="U661" s="111"/>
      <c r="V661" s="111"/>
      <c r="W661" s="111"/>
      <c r="X661" s="132"/>
      <c r="Y661" s="133"/>
      <c r="Z661" s="132"/>
      <c r="AA661" s="132"/>
      <c r="AB661" s="133"/>
      <c r="AC661" s="132"/>
      <c r="AD661" s="132"/>
      <c r="AE661" s="133"/>
      <c r="AF661" s="132"/>
      <c r="AG661" s="67"/>
    </row>
    <row r="662" spans="1:33">
      <c r="A662" s="9"/>
      <c r="B662" s="111"/>
      <c r="C662" s="111"/>
      <c r="D662" s="111"/>
      <c r="E662" s="111"/>
      <c r="F662" s="111"/>
      <c r="G662" s="111"/>
      <c r="H662" s="151"/>
      <c r="I662" s="151"/>
      <c r="J662" s="151"/>
      <c r="K662" s="151"/>
      <c r="L662" s="111"/>
      <c r="M662" s="111"/>
      <c r="N662" s="111"/>
      <c r="O662" s="111"/>
      <c r="P662" s="111"/>
      <c r="Q662" s="111"/>
      <c r="R662" s="111"/>
      <c r="S662" s="712"/>
      <c r="T662" s="111"/>
      <c r="U662" s="111"/>
      <c r="V662" s="111"/>
      <c r="W662" s="111"/>
      <c r="X662" s="132"/>
      <c r="Y662" s="111"/>
      <c r="Z662" s="111"/>
      <c r="AA662" s="111"/>
      <c r="AB662" s="111"/>
      <c r="AC662" s="111"/>
      <c r="AD662" s="111"/>
      <c r="AE662" s="111"/>
      <c r="AF662" s="111"/>
      <c r="AG662" s="67"/>
    </row>
    <row r="663" spans="1:33">
      <c r="A663" s="9"/>
      <c r="B663" s="111"/>
      <c r="C663" s="111"/>
      <c r="D663" s="111"/>
      <c r="E663" s="111"/>
      <c r="F663" s="111"/>
      <c r="G663" s="111"/>
      <c r="H663" s="151"/>
      <c r="I663" s="151"/>
      <c r="J663" s="151"/>
      <c r="K663" s="151"/>
      <c r="L663" s="111"/>
      <c r="M663" s="111"/>
      <c r="N663" s="111"/>
      <c r="O663" s="111"/>
      <c r="P663" s="111"/>
      <c r="Q663" s="111"/>
      <c r="R663" s="111"/>
      <c r="S663" s="712"/>
      <c r="T663" s="111"/>
      <c r="U663" s="111"/>
      <c r="V663" s="111"/>
      <c r="W663" s="111"/>
      <c r="X663" s="132"/>
      <c r="Y663" s="111"/>
      <c r="Z663" s="111"/>
      <c r="AA663" s="111"/>
      <c r="AB663" s="111"/>
      <c r="AC663" s="111"/>
      <c r="AD663" s="111"/>
      <c r="AE663" s="111"/>
      <c r="AF663" s="111"/>
      <c r="AG663" s="67"/>
    </row>
    <row r="664" spans="1:33">
      <c r="A664" s="9"/>
      <c r="B664" s="111"/>
      <c r="C664" s="111"/>
      <c r="D664" s="111"/>
      <c r="E664" s="111"/>
      <c r="F664" s="111"/>
      <c r="G664" s="111"/>
      <c r="H664" s="111"/>
      <c r="I664" s="67"/>
      <c r="J664" s="67"/>
      <c r="K664" s="67"/>
      <c r="L664" s="111"/>
      <c r="M664" s="111"/>
      <c r="N664" s="111"/>
      <c r="O664" s="111"/>
      <c r="P664" s="111"/>
      <c r="Q664" s="111"/>
      <c r="R664" s="111"/>
      <c r="S664" s="712"/>
      <c r="T664" s="111"/>
      <c r="U664" s="111"/>
      <c r="V664" s="111"/>
      <c r="W664" s="111"/>
      <c r="X664" s="132"/>
      <c r="Y664" s="133"/>
      <c r="Z664" s="132"/>
      <c r="AA664" s="132"/>
      <c r="AB664" s="133"/>
      <c r="AC664" s="132"/>
      <c r="AD664" s="132"/>
      <c r="AE664" s="133"/>
      <c r="AF664" s="132"/>
      <c r="AG664" s="67"/>
    </row>
    <row r="665" spans="1:33">
      <c r="A665" s="725">
        <v>37</v>
      </c>
      <c r="B665" s="726" t="s">
        <v>521</v>
      </c>
      <c r="C665" s="731"/>
      <c r="D665" s="731"/>
      <c r="E665" s="731"/>
      <c r="F665" s="731"/>
      <c r="G665" s="731"/>
      <c r="H665" s="731"/>
      <c r="I665" s="181">
        <v>5312</v>
      </c>
      <c r="J665" s="216">
        <v>5376</v>
      </c>
      <c r="K665" s="216">
        <v>5440</v>
      </c>
      <c r="L665" s="111"/>
      <c r="M665" s="111"/>
      <c r="N665" s="111"/>
      <c r="O665" s="111"/>
      <c r="P665" s="111"/>
      <c r="Q665" s="111"/>
      <c r="R665" s="111"/>
      <c r="S665" s="712"/>
      <c r="T665" s="111"/>
      <c r="U665" s="111"/>
      <c r="V665" s="111"/>
      <c r="W665" s="111"/>
      <c r="X665" s="132"/>
      <c r="Y665" s="133"/>
      <c r="Z665" s="132"/>
      <c r="AA665" s="132"/>
      <c r="AB665" s="133"/>
      <c r="AC665" s="132"/>
      <c r="AD665" s="132"/>
      <c r="AE665" s="133"/>
      <c r="AF665" s="132"/>
      <c r="AG665" s="67"/>
    </row>
    <row r="666" spans="1:33">
      <c r="A666" s="157" t="s">
        <v>38</v>
      </c>
      <c r="B666" s="113" t="s">
        <v>755</v>
      </c>
      <c r="C666" s="113" t="s">
        <v>966</v>
      </c>
      <c r="D666" s="113" t="s">
        <v>967</v>
      </c>
      <c r="E666" s="113" t="s">
        <v>968</v>
      </c>
      <c r="F666" s="113" t="s">
        <v>969</v>
      </c>
      <c r="G666" s="113" t="s">
        <v>970</v>
      </c>
      <c r="H666" s="113" t="s">
        <v>971</v>
      </c>
      <c r="I666" s="113" t="s">
        <v>972</v>
      </c>
      <c r="J666" s="113" t="s">
        <v>973</v>
      </c>
      <c r="K666" s="113" t="s">
        <v>974</v>
      </c>
      <c r="L666" s="182"/>
      <c r="M666" s="182"/>
      <c r="N666" s="182"/>
      <c r="O666" s="182"/>
      <c r="P666" s="182"/>
      <c r="Q666" s="182"/>
      <c r="R666" s="182"/>
      <c r="S666" s="727"/>
      <c r="T666" s="159" t="s">
        <v>387</v>
      </c>
      <c r="U666" s="159" t="s">
        <v>388</v>
      </c>
      <c r="V666" s="159" t="s">
        <v>934</v>
      </c>
      <c r="W666" s="160" t="s">
        <v>935</v>
      </c>
      <c r="X666" s="161" t="s">
        <v>936</v>
      </c>
      <c r="Y666" s="162" t="s">
        <v>937</v>
      </c>
      <c r="Z666" s="161" t="s">
        <v>938</v>
      </c>
      <c r="AA666" s="161" t="s">
        <v>939</v>
      </c>
      <c r="AB666" s="162" t="s">
        <v>940</v>
      </c>
      <c r="AC666" s="161" t="s">
        <v>941</v>
      </c>
      <c r="AD666" s="161" t="s">
        <v>942</v>
      </c>
      <c r="AE666" s="162" t="s">
        <v>943</v>
      </c>
      <c r="AF666" s="161" t="s">
        <v>944</v>
      </c>
      <c r="AG666" s="67"/>
    </row>
    <row r="667" spans="1:33">
      <c r="A667" s="134"/>
      <c r="B667" s="153">
        <v>1</v>
      </c>
      <c r="C667" s="121" t="s">
        <v>978</v>
      </c>
      <c r="D667" s="121" t="s">
        <v>1282</v>
      </c>
      <c r="E667" s="209">
        <v>1</v>
      </c>
      <c r="F667" s="121">
        <v>1</v>
      </c>
      <c r="G667" s="164">
        <f>'Assumptions HR_AUN'!$F$8</f>
        <v>80.053187003968247</v>
      </c>
      <c r="H667" s="164">
        <f t="shared" ref="H667:H668" si="763">E667*F667*G667</f>
        <v>80.053187003968247</v>
      </c>
      <c r="I667" s="164">
        <f t="shared" ref="I667:K667" si="764">$H667*I$665</f>
        <v>425242.5293650793</v>
      </c>
      <c r="J667" s="164">
        <f t="shared" si="764"/>
        <v>430365.93333333329</v>
      </c>
      <c r="K667" s="164">
        <f t="shared" si="764"/>
        <v>435489.33730158728</v>
      </c>
      <c r="L667" s="111"/>
      <c r="M667" s="111"/>
      <c r="N667" s="111"/>
      <c r="O667" s="111"/>
      <c r="P667" s="111"/>
      <c r="Q667" s="111"/>
      <c r="R667" s="111"/>
      <c r="S667" s="712"/>
      <c r="T667" s="169" t="e">
        <f>'[2]AUN Budget'!#REF!</f>
        <v>#REF!</v>
      </c>
      <c r="U667" s="169" t="e">
        <f>'[2]AUN Budget'!#REF!</f>
        <v>#REF!</v>
      </c>
      <c r="V667" s="121" t="s">
        <v>977</v>
      </c>
      <c r="W667" s="121" t="s">
        <v>961</v>
      </c>
      <c r="X667" s="170">
        <f t="shared" ref="X667:X668" si="765">G667*$D$35*$D$36</f>
        <v>40346.806249999994</v>
      </c>
      <c r="Y667" s="200">
        <f t="shared" ref="Y667:Y670" si="766">I667/X667</f>
        <v>10.53968253968254</v>
      </c>
      <c r="Z667" s="167">
        <f t="shared" ref="Z667:Z670" si="767">X667*Y667</f>
        <v>425242.5293650793</v>
      </c>
      <c r="AA667" s="164">
        <f t="shared" ref="AA667:AA668" si="768">G667*$D$35*$D$36</f>
        <v>40346.806249999994</v>
      </c>
      <c r="AB667" s="200">
        <f t="shared" ref="AB667:AB670" si="769">J667/AA667</f>
        <v>10.666666666666668</v>
      </c>
      <c r="AC667" s="167">
        <f t="shared" ref="AC667:AC670" si="770">AA667*AB667</f>
        <v>430365.93333333329</v>
      </c>
      <c r="AD667" s="164">
        <f t="shared" ref="AD667:AD668" si="771">G667*$D$35*$D$36</f>
        <v>40346.806249999994</v>
      </c>
      <c r="AE667" s="200">
        <f t="shared" ref="AE667:AE670" si="772">K667/AD667</f>
        <v>10.793650793650794</v>
      </c>
      <c r="AF667" s="167">
        <f t="shared" ref="AF667:AF670" si="773">AD667*AE667</f>
        <v>435489.33730158728</v>
      </c>
      <c r="AG667" s="67"/>
    </row>
    <row r="668" spans="1:33">
      <c r="A668" s="134"/>
      <c r="B668" s="153">
        <v>2</v>
      </c>
      <c r="C668" s="121" t="s">
        <v>978</v>
      </c>
      <c r="D668" s="121" t="s">
        <v>1283</v>
      </c>
      <c r="E668" s="209">
        <v>3.5</v>
      </c>
      <c r="F668" s="121">
        <v>1</v>
      </c>
      <c r="G668" s="164">
        <f>'Assumptions HR_AUN'!$F$8</f>
        <v>80.053187003968247</v>
      </c>
      <c r="H668" s="164">
        <f t="shared" si="763"/>
        <v>280.18615451388888</v>
      </c>
      <c r="I668" s="164">
        <f t="shared" ref="I668:K668" si="774">$H668*I$665</f>
        <v>1488348.8527777777</v>
      </c>
      <c r="J668" s="164">
        <f t="shared" si="774"/>
        <v>1506280.7666666666</v>
      </c>
      <c r="K668" s="164">
        <f t="shared" si="774"/>
        <v>1524212.6805555555</v>
      </c>
      <c r="L668" s="111"/>
      <c r="M668" s="111"/>
      <c r="N668" s="111"/>
      <c r="O668" s="111"/>
      <c r="P668" s="111"/>
      <c r="Q668" s="111"/>
      <c r="R668" s="111"/>
      <c r="S668" s="712"/>
      <c r="T668" s="169" t="e">
        <f>'[2]AUN Budget'!#REF!</f>
        <v>#REF!</v>
      </c>
      <c r="U668" s="169" t="e">
        <f>'[2]AUN Budget'!#REF!</f>
        <v>#REF!</v>
      </c>
      <c r="V668" s="121" t="s">
        <v>977</v>
      </c>
      <c r="W668" s="121" t="s">
        <v>961</v>
      </c>
      <c r="X668" s="170">
        <f t="shared" si="765"/>
        <v>40346.806249999994</v>
      </c>
      <c r="Y668" s="200">
        <f t="shared" si="766"/>
        <v>36.888888888888893</v>
      </c>
      <c r="Z668" s="167">
        <f t="shared" si="767"/>
        <v>1488348.8527777777</v>
      </c>
      <c r="AA668" s="164">
        <f t="shared" si="768"/>
        <v>40346.806249999994</v>
      </c>
      <c r="AB668" s="200">
        <f t="shared" si="769"/>
        <v>37.333333333333336</v>
      </c>
      <c r="AC668" s="167">
        <f t="shared" si="770"/>
        <v>1506280.7666666666</v>
      </c>
      <c r="AD668" s="164">
        <f t="shared" si="771"/>
        <v>40346.806249999994</v>
      </c>
      <c r="AE668" s="200">
        <f t="shared" si="772"/>
        <v>37.777777777777779</v>
      </c>
      <c r="AF668" s="167">
        <f t="shared" si="773"/>
        <v>1524212.6805555553</v>
      </c>
      <c r="AG668" s="67"/>
    </row>
    <row r="669" spans="1:33">
      <c r="A669" s="134"/>
      <c r="B669" s="153">
        <v>3</v>
      </c>
      <c r="C669" s="121" t="s">
        <v>1001</v>
      </c>
      <c r="D669" s="121"/>
      <c r="E669" s="209"/>
      <c r="F669" s="121"/>
      <c r="G669" s="185">
        <f>$C$13</f>
        <v>0.1</v>
      </c>
      <c r="H669" s="164">
        <f>SUM(H667:H668)*G669</f>
        <v>36.023934151785717</v>
      </c>
      <c r="I669" s="164">
        <f t="shared" ref="I669:K669" si="775">$H669*I$665</f>
        <v>191359.13821428572</v>
      </c>
      <c r="J669" s="164">
        <f t="shared" si="775"/>
        <v>193664.67</v>
      </c>
      <c r="K669" s="164">
        <f t="shared" si="775"/>
        <v>195970.20178571431</v>
      </c>
      <c r="L669" s="111"/>
      <c r="M669" s="111"/>
      <c r="N669" s="111"/>
      <c r="O669" s="111"/>
      <c r="P669" s="111"/>
      <c r="Q669" s="111"/>
      <c r="R669" s="111"/>
      <c r="S669" s="712"/>
      <c r="T669" s="169" t="e">
        <f>'[2]AUN Budget'!#REF!</f>
        <v>#REF!</v>
      </c>
      <c r="U669" s="169" t="e">
        <f>'[2]AUN Budget'!#REF!</f>
        <v>#REF!</v>
      </c>
      <c r="V669" s="121" t="s">
        <v>875</v>
      </c>
      <c r="W669" s="121" t="s">
        <v>961</v>
      </c>
      <c r="X669" s="170">
        <f>'Assumptions HR_AUN'!$D$4*3</f>
        <v>88211.039066799218</v>
      </c>
      <c r="Y669" s="200">
        <f t="shared" si="766"/>
        <v>2.1693332290233647</v>
      </c>
      <c r="Z669" s="167">
        <f t="shared" si="767"/>
        <v>191359.13821428572</v>
      </c>
      <c r="AA669" s="164">
        <f>'Assumptions HR_AUN'!$D$4*3</f>
        <v>88211.039066799218</v>
      </c>
      <c r="AB669" s="200">
        <f t="shared" si="769"/>
        <v>2.1954697739513573</v>
      </c>
      <c r="AC669" s="167">
        <f t="shared" si="770"/>
        <v>193664.67000000004</v>
      </c>
      <c r="AD669" s="164">
        <f>'Assumptions HR_AUN'!$D$4*3</f>
        <v>88211.039066799218</v>
      </c>
      <c r="AE669" s="200">
        <f t="shared" si="772"/>
        <v>2.2216063188793496</v>
      </c>
      <c r="AF669" s="167">
        <f t="shared" si="773"/>
        <v>195970.20178571431</v>
      </c>
      <c r="AG669" s="67"/>
    </row>
    <row r="670" spans="1:33">
      <c r="A670" s="134"/>
      <c r="B670" s="153">
        <v>4</v>
      </c>
      <c r="C670" s="121" t="s">
        <v>962</v>
      </c>
      <c r="D670" s="121"/>
      <c r="E670" s="209"/>
      <c r="F670" s="121"/>
      <c r="G670" s="185">
        <f>$C$14</f>
        <v>0.15</v>
      </c>
      <c r="H670" s="164">
        <f>SUM(H667:H668)*G670</f>
        <v>54.035901227678572</v>
      </c>
      <c r="I670" s="164">
        <f t="shared" ref="I670:K670" si="776">$H670*I$665</f>
        <v>287038.70732142858</v>
      </c>
      <c r="J670" s="164">
        <f t="shared" si="776"/>
        <v>290497.005</v>
      </c>
      <c r="K670" s="164">
        <f t="shared" si="776"/>
        <v>293955.30267857143</v>
      </c>
      <c r="L670" s="111"/>
      <c r="M670" s="111"/>
      <c r="N670" s="111"/>
      <c r="O670" s="111"/>
      <c r="P670" s="111"/>
      <c r="Q670" s="111"/>
      <c r="R670" s="111"/>
      <c r="S670" s="712"/>
      <c r="T670" s="169" t="e">
        <f>'[2]AUN Budget'!#REF!</f>
        <v>#REF!</v>
      </c>
      <c r="U670" s="169" t="e">
        <f>'[2]AUN Budget'!#REF!</f>
        <v>#REF!</v>
      </c>
      <c r="V670" s="121" t="s">
        <v>881</v>
      </c>
      <c r="W670" s="121" t="s">
        <v>964</v>
      </c>
      <c r="X670" s="170">
        <f>I670/4</f>
        <v>71759.676830357144</v>
      </c>
      <c r="Y670" s="200">
        <f t="shared" si="766"/>
        <v>4</v>
      </c>
      <c r="Z670" s="167">
        <f t="shared" si="767"/>
        <v>287038.70732142858</v>
      </c>
      <c r="AA670" s="164">
        <f>J670/4</f>
        <v>72624.251250000001</v>
      </c>
      <c r="AB670" s="200">
        <f t="shared" si="769"/>
        <v>4</v>
      </c>
      <c r="AC670" s="167">
        <f t="shared" si="770"/>
        <v>290497.005</v>
      </c>
      <c r="AD670" s="164">
        <f>K670/4</f>
        <v>73488.825669642858</v>
      </c>
      <c r="AE670" s="200">
        <f t="shared" si="772"/>
        <v>4</v>
      </c>
      <c r="AF670" s="167">
        <f t="shared" si="773"/>
        <v>293955.30267857143</v>
      </c>
      <c r="AG670" s="67"/>
    </row>
    <row r="671" spans="1:33">
      <c r="A671" s="134"/>
      <c r="B671" s="212" t="s">
        <v>770</v>
      </c>
      <c r="C671" s="212"/>
      <c r="D671" s="212"/>
      <c r="E671" s="212"/>
      <c r="F671" s="212"/>
      <c r="G671" s="178"/>
      <c r="H671" s="178">
        <f t="shared" ref="H671:K671" si="777">SUM(H667:H670)</f>
        <v>450.29917689732144</v>
      </c>
      <c r="I671" s="178">
        <f t="shared" si="777"/>
        <v>2391989.2276785714</v>
      </c>
      <c r="J671" s="178">
        <f t="shared" si="777"/>
        <v>2420808.375</v>
      </c>
      <c r="K671" s="178">
        <f t="shared" si="777"/>
        <v>2449627.5223214286</v>
      </c>
      <c r="L671" s="111"/>
      <c r="M671" s="111"/>
      <c r="N671" s="111"/>
      <c r="O671" s="111"/>
      <c r="P671" s="111"/>
      <c r="Q671" s="111"/>
      <c r="R671" s="111"/>
      <c r="S671" s="712"/>
      <c r="T671" s="111"/>
      <c r="U671" s="111"/>
      <c r="V671" s="111"/>
      <c r="W671" s="111"/>
      <c r="X671" s="132"/>
      <c r="Y671" s="133"/>
      <c r="Z671" s="132"/>
      <c r="AA671" s="132"/>
      <c r="AB671" s="133"/>
      <c r="AC671" s="132"/>
      <c r="AD671" s="132"/>
      <c r="AE671" s="133"/>
      <c r="AF671" s="132"/>
      <c r="AG671" s="67"/>
    </row>
    <row r="672" spans="1:33">
      <c r="A672" s="9"/>
      <c r="B672" s="111"/>
      <c r="C672" s="111"/>
      <c r="D672" s="111"/>
      <c r="E672" s="111"/>
      <c r="F672" s="111"/>
      <c r="G672" s="111"/>
      <c r="H672" s="151"/>
      <c r="I672" s="151"/>
      <c r="J672" s="151"/>
      <c r="K672" s="151"/>
      <c r="L672" s="111"/>
      <c r="M672" s="111"/>
      <c r="N672" s="111"/>
      <c r="O672" s="111"/>
      <c r="P672" s="111"/>
      <c r="Q672" s="111"/>
      <c r="R672" s="111"/>
      <c r="S672" s="712"/>
      <c r="T672" s="111"/>
      <c r="U672" s="111"/>
      <c r="V672" s="111"/>
      <c r="W672" s="111"/>
      <c r="X672" s="132"/>
      <c r="Y672" s="111"/>
      <c r="Z672" s="111"/>
      <c r="AA672" s="111"/>
      <c r="AB672" s="111"/>
      <c r="AC672" s="111"/>
      <c r="AD672" s="111"/>
      <c r="AE672" s="111"/>
      <c r="AF672" s="111"/>
      <c r="AG672" s="67"/>
    </row>
    <row r="673" spans="1:33">
      <c r="A673" s="9"/>
      <c r="B673" s="111"/>
      <c r="C673" s="111"/>
      <c r="D673" s="111"/>
      <c r="E673" s="111"/>
      <c r="F673" s="111"/>
      <c r="G673" s="111"/>
      <c r="H673" s="151"/>
      <c r="I673" s="151"/>
      <c r="J673" s="151"/>
      <c r="K673" s="151"/>
      <c r="L673" s="111"/>
      <c r="M673" s="111"/>
      <c r="N673" s="111"/>
      <c r="O673" s="111"/>
      <c r="P673" s="111"/>
      <c r="Q673" s="111"/>
      <c r="R673" s="111"/>
      <c r="S673" s="712"/>
      <c r="T673" s="111"/>
      <c r="U673" s="111"/>
      <c r="V673" s="111"/>
      <c r="W673" s="111"/>
      <c r="X673" s="132"/>
      <c r="Y673" s="111"/>
      <c r="Z673" s="111"/>
      <c r="AA673" s="111"/>
      <c r="AB673" s="111"/>
      <c r="AC673" s="111"/>
      <c r="AD673" s="111"/>
      <c r="AE673" s="111"/>
      <c r="AF673" s="111"/>
      <c r="AG673" s="67"/>
    </row>
    <row r="674" spans="1:33">
      <c r="A674" s="725">
        <v>38</v>
      </c>
      <c r="B674" s="726" t="s">
        <v>1284</v>
      </c>
      <c r="C674" s="731"/>
      <c r="D674" s="731"/>
      <c r="E674" s="731"/>
      <c r="F674" s="731"/>
      <c r="G674" s="731"/>
      <c r="H674" s="731"/>
      <c r="I674" s="181">
        <v>1150</v>
      </c>
      <c r="J674" s="181">
        <v>1050</v>
      </c>
      <c r="K674" s="216">
        <v>950</v>
      </c>
      <c r="L674" s="111"/>
      <c r="M674" s="111"/>
      <c r="N674" s="111"/>
      <c r="O674" s="111"/>
      <c r="P674" s="111"/>
      <c r="Q674" s="111"/>
      <c r="R674" s="111"/>
      <c r="S674" s="712"/>
      <c r="T674" s="111"/>
      <c r="U674" s="111"/>
      <c r="V674" s="111"/>
      <c r="W674" s="111"/>
      <c r="X674" s="132"/>
      <c r="Y674" s="133"/>
      <c r="Z674" s="132"/>
      <c r="AA674" s="132"/>
      <c r="AB674" s="133"/>
      <c r="AC674" s="132"/>
      <c r="AD674" s="132"/>
      <c r="AE674" s="133"/>
      <c r="AF674" s="132"/>
      <c r="AG674" s="67"/>
    </row>
    <row r="675" spans="1:33">
      <c r="A675" s="157" t="s">
        <v>1285</v>
      </c>
      <c r="B675" s="113" t="s">
        <v>755</v>
      </c>
      <c r="C675" s="113" t="s">
        <v>966</v>
      </c>
      <c r="D675" s="113" t="s">
        <v>967</v>
      </c>
      <c r="E675" s="113" t="s">
        <v>968</v>
      </c>
      <c r="F675" s="113" t="s">
        <v>969</v>
      </c>
      <c r="G675" s="113" t="s">
        <v>970</v>
      </c>
      <c r="H675" s="113" t="s">
        <v>971</v>
      </c>
      <c r="I675" s="113" t="s">
        <v>972</v>
      </c>
      <c r="J675" s="113" t="s">
        <v>973</v>
      </c>
      <c r="K675" s="113" t="s">
        <v>974</v>
      </c>
      <c r="L675" s="182"/>
      <c r="M675" s="182"/>
      <c r="N675" s="182"/>
      <c r="O675" s="182"/>
      <c r="P675" s="182"/>
      <c r="Q675" s="182"/>
      <c r="R675" s="182"/>
      <c r="S675" s="727"/>
      <c r="T675" s="159" t="s">
        <v>387</v>
      </c>
      <c r="U675" s="159" t="s">
        <v>388</v>
      </c>
      <c r="V675" s="159" t="s">
        <v>934</v>
      </c>
      <c r="W675" s="160" t="s">
        <v>935</v>
      </c>
      <c r="X675" s="161" t="s">
        <v>936</v>
      </c>
      <c r="Y675" s="162" t="s">
        <v>937</v>
      </c>
      <c r="Z675" s="161" t="s">
        <v>938</v>
      </c>
      <c r="AA675" s="161" t="s">
        <v>939</v>
      </c>
      <c r="AB675" s="162" t="s">
        <v>940</v>
      </c>
      <c r="AC675" s="161" t="s">
        <v>941</v>
      </c>
      <c r="AD675" s="161" t="s">
        <v>942</v>
      </c>
      <c r="AE675" s="162" t="s">
        <v>943</v>
      </c>
      <c r="AF675" s="161" t="s">
        <v>944</v>
      </c>
      <c r="AG675" s="67"/>
    </row>
    <row r="676" spans="1:33">
      <c r="A676" s="134"/>
      <c r="B676" s="153">
        <v>1</v>
      </c>
      <c r="C676" s="121" t="s">
        <v>992</v>
      </c>
      <c r="D676" s="121" t="s">
        <v>1286</v>
      </c>
      <c r="E676" s="209"/>
      <c r="F676" s="164">
        <v>1</v>
      </c>
      <c r="G676" s="164">
        <f>'Assumptions Other_AUN'!$D$25</f>
        <v>225</v>
      </c>
      <c r="H676" s="164">
        <f t="shared" ref="H676:H678" si="778">F676*G676</f>
        <v>225</v>
      </c>
      <c r="I676" s="164">
        <f t="shared" ref="I676:K676" si="779">$H676*I$674</f>
        <v>258750</v>
      </c>
      <c r="J676" s="164">
        <f t="shared" si="779"/>
        <v>236250</v>
      </c>
      <c r="K676" s="164">
        <f t="shared" si="779"/>
        <v>213750</v>
      </c>
      <c r="L676" s="111"/>
      <c r="M676" s="111"/>
      <c r="N676" s="111"/>
      <c r="O676" s="111"/>
      <c r="P676" s="111"/>
      <c r="Q676" s="111"/>
      <c r="R676" s="111"/>
      <c r="S676" s="712"/>
      <c r="T676" s="169" t="e">
        <f>'[2]AUN Budget'!#REF!</f>
        <v>#REF!</v>
      </c>
      <c r="U676" s="169" t="e">
        <f>'[2]AUN Budget'!#REF!</f>
        <v>#REF!</v>
      </c>
      <c r="V676" s="121" t="s">
        <v>994</v>
      </c>
      <c r="W676" s="121" t="s">
        <v>789</v>
      </c>
      <c r="X676" s="170">
        <f t="shared" ref="X676:X678" si="780">G676</f>
        <v>225</v>
      </c>
      <c r="Y676" s="200">
        <f t="shared" ref="Y676:Y681" si="781">I676/X676</f>
        <v>1150</v>
      </c>
      <c r="Z676" s="167">
        <f t="shared" ref="Z676:Z681" si="782">X676*Y676</f>
        <v>258750</v>
      </c>
      <c r="AA676" s="164">
        <f t="shared" ref="AA676:AA680" si="783">X676</f>
        <v>225</v>
      </c>
      <c r="AB676" s="200">
        <f t="shared" ref="AB676:AB681" si="784">J676/AA676</f>
        <v>1050</v>
      </c>
      <c r="AC676" s="167">
        <f t="shared" ref="AC676:AC681" si="785">AA676*AB676</f>
        <v>236250</v>
      </c>
      <c r="AD676" s="164">
        <f t="shared" ref="AD676:AD679" si="786">AA676</f>
        <v>225</v>
      </c>
      <c r="AE676" s="200">
        <f t="shared" ref="AE676:AE681" si="787">K676/AD676</f>
        <v>950</v>
      </c>
      <c r="AF676" s="167">
        <f t="shared" ref="AF676:AF681" si="788">AD676*AE676</f>
        <v>213750</v>
      </c>
      <c r="AG676" s="67"/>
    </row>
    <row r="677" spans="1:33">
      <c r="A677" s="134"/>
      <c r="B677" s="153">
        <v>2</v>
      </c>
      <c r="C677" s="121" t="s">
        <v>992</v>
      </c>
      <c r="D677" s="121" t="s">
        <v>1287</v>
      </c>
      <c r="E677" s="209"/>
      <c r="F677" s="164">
        <v>1</v>
      </c>
      <c r="G677" s="164">
        <f>'Assumptions Other_AUN'!$D$25</f>
        <v>225</v>
      </c>
      <c r="H677" s="164">
        <f t="shared" si="778"/>
        <v>225</v>
      </c>
      <c r="I677" s="164">
        <f t="shared" ref="I677:K677" si="789">$H677*I$674</f>
        <v>258750</v>
      </c>
      <c r="J677" s="164">
        <f t="shared" si="789"/>
        <v>236250</v>
      </c>
      <c r="K677" s="164">
        <f t="shared" si="789"/>
        <v>213750</v>
      </c>
      <c r="L677" s="111"/>
      <c r="M677" s="111"/>
      <c r="N677" s="111"/>
      <c r="O677" s="111"/>
      <c r="P677" s="111"/>
      <c r="Q677" s="111"/>
      <c r="R677" s="111"/>
      <c r="S677" s="712"/>
      <c r="T677" s="169" t="e">
        <f>'[2]AUN Budget'!#REF!</f>
        <v>#REF!</v>
      </c>
      <c r="U677" s="169" t="e">
        <f>'[2]AUN Budget'!#REF!</f>
        <v>#REF!</v>
      </c>
      <c r="V677" s="121" t="s">
        <v>994</v>
      </c>
      <c r="W677" s="121" t="s">
        <v>789</v>
      </c>
      <c r="X677" s="170">
        <f t="shared" si="780"/>
        <v>225</v>
      </c>
      <c r="Y677" s="200">
        <f t="shared" si="781"/>
        <v>1150</v>
      </c>
      <c r="Z677" s="167">
        <f t="shared" si="782"/>
        <v>258750</v>
      </c>
      <c r="AA677" s="164">
        <f t="shared" si="783"/>
        <v>225</v>
      </c>
      <c r="AB677" s="200">
        <f t="shared" si="784"/>
        <v>1050</v>
      </c>
      <c r="AC677" s="167">
        <f t="shared" si="785"/>
        <v>236250</v>
      </c>
      <c r="AD677" s="164">
        <f t="shared" si="786"/>
        <v>225</v>
      </c>
      <c r="AE677" s="200">
        <f t="shared" si="787"/>
        <v>950</v>
      </c>
      <c r="AF677" s="167">
        <f t="shared" si="788"/>
        <v>213750</v>
      </c>
      <c r="AG677" s="67"/>
    </row>
    <row r="678" spans="1:33">
      <c r="A678" s="134"/>
      <c r="B678" s="153">
        <v>3</v>
      </c>
      <c r="C678" s="121" t="s">
        <v>992</v>
      </c>
      <c r="D678" s="121" t="s">
        <v>1288</v>
      </c>
      <c r="E678" s="209"/>
      <c r="F678" s="164">
        <v>0.25</v>
      </c>
      <c r="G678" s="164">
        <f>'Assumptions Other_AUN'!$D$25</f>
        <v>225</v>
      </c>
      <c r="H678" s="164">
        <f t="shared" si="778"/>
        <v>56.25</v>
      </c>
      <c r="I678" s="164">
        <f t="shared" ref="I678:K678" si="790">$H678*I$674</f>
        <v>64687.5</v>
      </c>
      <c r="J678" s="164">
        <f t="shared" si="790"/>
        <v>59062.5</v>
      </c>
      <c r="K678" s="164">
        <f t="shared" si="790"/>
        <v>53437.5</v>
      </c>
      <c r="L678" s="111"/>
      <c r="M678" s="111"/>
      <c r="N678" s="111"/>
      <c r="O678" s="111"/>
      <c r="P678" s="111"/>
      <c r="Q678" s="111"/>
      <c r="R678" s="111"/>
      <c r="S678" s="712"/>
      <c r="T678" s="169" t="e">
        <f>'[2]AUN Budget'!#REF!</f>
        <v>#REF!</v>
      </c>
      <c r="U678" s="169" t="e">
        <f>'[2]AUN Budget'!#REF!</f>
        <v>#REF!</v>
      </c>
      <c r="V678" s="121" t="s">
        <v>994</v>
      </c>
      <c r="W678" s="121" t="s">
        <v>789</v>
      </c>
      <c r="X678" s="170">
        <f t="shared" si="780"/>
        <v>225</v>
      </c>
      <c r="Y678" s="200">
        <f t="shared" si="781"/>
        <v>287.5</v>
      </c>
      <c r="Z678" s="167">
        <f t="shared" si="782"/>
        <v>64687.5</v>
      </c>
      <c r="AA678" s="164">
        <f t="shared" si="783"/>
        <v>225</v>
      </c>
      <c r="AB678" s="200">
        <f t="shared" si="784"/>
        <v>262.5</v>
      </c>
      <c r="AC678" s="167">
        <f t="shared" si="785"/>
        <v>59062.5</v>
      </c>
      <c r="AD678" s="164">
        <f t="shared" si="786"/>
        <v>225</v>
      </c>
      <c r="AE678" s="200">
        <f t="shared" si="787"/>
        <v>237.5</v>
      </c>
      <c r="AF678" s="167">
        <f t="shared" si="788"/>
        <v>53437.5</v>
      </c>
      <c r="AG678" s="67"/>
    </row>
    <row r="679" spans="1:33">
      <c r="A679" s="134"/>
      <c r="B679" s="153">
        <v>4</v>
      </c>
      <c r="C679" s="121" t="s">
        <v>978</v>
      </c>
      <c r="D679" s="121" t="s">
        <v>1289</v>
      </c>
      <c r="E679" s="209">
        <v>2</v>
      </c>
      <c r="F679" s="164">
        <v>1</v>
      </c>
      <c r="G679" s="164">
        <f>'Assumptions HR_AUN'!$F$8</f>
        <v>80.053187003968247</v>
      </c>
      <c r="H679" s="164">
        <f>E679*F679*G679</f>
        <v>160.10637400793649</v>
      </c>
      <c r="I679" s="164">
        <f t="shared" ref="I679:K679" si="791">$H679*I$674</f>
        <v>184122.33010912698</v>
      </c>
      <c r="J679" s="164">
        <f t="shared" si="791"/>
        <v>168111.69270833331</v>
      </c>
      <c r="K679" s="164">
        <f t="shared" si="791"/>
        <v>152101.05530753967</v>
      </c>
      <c r="L679" s="111"/>
      <c r="M679" s="111"/>
      <c r="N679" s="111"/>
      <c r="O679" s="111"/>
      <c r="P679" s="111"/>
      <c r="Q679" s="111"/>
      <c r="R679" s="111"/>
      <c r="S679" s="712"/>
      <c r="T679" s="169" t="e">
        <f>'[2]AUN Budget'!#REF!</f>
        <v>#REF!</v>
      </c>
      <c r="U679" s="169" t="e">
        <f>'[2]AUN Budget'!#REF!</f>
        <v>#REF!</v>
      </c>
      <c r="V679" s="121" t="s">
        <v>977</v>
      </c>
      <c r="W679" s="121" t="s">
        <v>961</v>
      </c>
      <c r="X679" s="170">
        <f>G679*$D$35*$D$36</f>
        <v>40346.806249999994</v>
      </c>
      <c r="Y679" s="200">
        <f t="shared" si="781"/>
        <v>4.5634920634920642</v>
      </c>
      <c r="Z679" s="167">
        <f t="shared" si="782"/>
        <v>184122.33010912698</v>
      </c>
      <c r="AA679" s="164">
        <f t="shared" si="783"/>
        <v>40346.806249999994</v>
      </c>
      <c r="AB679" s="200">
        <f t="shared" si="784"/>
        <v>4.166666666666667</v>
      </c>
      <c r="AC679" s="167">
        <f t="shared" si="785"/>
        <v>168111.69270833331</v>
      </c>
      <c r="AD679" s="164">
        <f t="shared" si="786"/>
        <v>40346.806249999994</v>
      </c>
      <c r="AE679" s="200">
        <f t="shared" si="787"/>
        <v>3.7698412698412702</v>
      </c>
      <c r="AF679" s="167">
        <f t="shared" si="788"/>
        <v>152101.05530753967</v>
      </c>
      <c r="AG679" s="67"/>
    </row>
    <row r="680" spans="1:33">
      <c r="A680" s="134"/>
      <c r="B680" s="153">
        <v>5</v>
      </c>
      <c r="C680" s="121" t="s">
        <v>1001</v>
      </c>
      <c r="D680" s="121"/>
      <c r="E680" s="209"/>
      <c r="F680" s="164"/>
      <c r="G680" s="185">
        <f>$C$13</f>
        <v>0.1</v>
      </c>
      <c r="H680" s="164">
        <f>SUM(H676:H677)*G680</f>
        <v>45</v>
      </c>
      <c r="I680" s="164">
        <f t="shared" ref="I680:K680" si="792">$H680*I$674</f>
        <v>51750</v>
      </c>
      <c r="J680" s="164">
        <f t="shared" si="792"/>
        <v>47250</v>
      </c>
      <c r="K680" s="164">
        <f t="shared" si="792"/>
        <v>42750</v>
      </c>
      <c r="L680" s="111"/>
      <c r="M680" s="111"/>
      <c r="N680" s="111"/>
      <c r="O680" s="111"/>
      <c r="P680" s="111"/>
      <c r="Q680" s="111"/>
      <c r="R680" s="111"/>
      <c r="S680" s="712"/>
      <c r="T680" s="169" t="e">
        <f>'[2]AUN Budget'!#REF!</f>
        <v>#REF!</v>
      </c>
      <c r="U680" s="169" t="e">
        <f>'[2]AUN Budget'!#REF!</f>
        <v>#REF!</v>
      </c>
      <c r="V680" s="121" t="s">
        <v>875</v>
      </c>
      <c r="W680" s="121" t="s">
        <v>961</v>
      </c>
      <c r="X680" s="170">
        <f>'Assumptions HR_AUN'!$D$4*3</f>
        <v>88211.039066799218</v>
      </c>
      <c r="Y680" s="200">
        <f t="shared" si="781"/>
        <v>0.58666126765394389</v>
      </c>
      <c r="Z680" s="167">
        <f t="shared" si="782"/>
        <v>51750</v>
      </c>
      <c r="AA680" s="164">
        <f t="shared" si="783"/>
        <v>88211.039066799218</v>
      </c>
      <c r="AB680" s="200">
        <f t="shared" si="784"/>
        <v>0.53564724437968791</v>
      </c>
      <c r="AC680" s="167">
        <f t="shared" si="785"/>
        <v>47250</v>
      </c>
      <c r="AD680" s="164">
        <f>'Assumptions HR_AUN'!$D$4*3</f>
        <v>88211.039066799218</v>
      </c>
      <c r="AE680" s="200">
        <f t="shared" si="787"/>
        <v>0.48463322110543194</v>
      </c>
      <c r="AF680" s="167">
        <f t="shared" si="788"/>
        <v>42750</v>
      </c>
      <c r="AG680" s="67"/>
    </row>
    <row r="681" spans="1:33">
      <c r="A681" s="134"/>
      <c r="B681" s="153">
        <v>6</v>
      </c>
      <c r="C681" s="121" t="s">
        <v>962</v>
      </c>
      <c r="D681" s="121"/>
      <c r="E681" s="209"/>
      <c r="F681" s="121"/>
      <c r="G681" s="185">
        <f>$C$14</f>
        <v>0.15</v>
      </c>
      <c r="H681" s="164">
        <f>SUM(H676:H677)*G681</f>
        <v>67.5</v>
      </c>
      <c r="I681" s="164">
        <f t="shared" ref="I681:K681" si="793">$H681*I$674</f>
        <v>77625</v>
      </c>
      <c r="J681" s="164">
        <f t="shared" si="793"/>
        <v>70875</v>
      </c>
      <c r="K681" s="164">
        <f t="shared" si="793"/>
        <v>64125</v>
      </c>
      <c r="L681" s="111"/>
      <c r="M681" s="111"/>
      <c r="N681" s="111"/>
      <c r="O681" s="111"/>
      <c r="P681" s="111"/>
      <c r="Q681" s="111"/>
      <c r="R681" s="111"/>
      <c r="S681" s="712"/>
      <c r="T681" s="169" t="e">
        <f>'[2]AUN Budget'!#REF!</f>
        <v>#REF!</v>
      </c>
      <c r="U681" s="169" t="e">
        <f>'[2]AUN Budget'!#REF!</f>
        <v>#REF!</v>
      </c>
      <c r="V681" s="121" t="s">
        <v>881</v>
      </c>
      <c r="W681" s="121" t="s">
        <v>964</v>
      </c>
      <c r="X681" s="170">
        <f>I681/4</f>
        <v>19406.25</v>
      </c>
      <c r="Y681" s="200">
        <f t="shared" si="781"/>
        <v>4</v>
      </c>
      <c r="Z681" s="167">
        <f t="shared" si="782"/>
        <v>77625</v>
      </c>
      <c r="AA681" s="164">
        <f>J681/4</f>
        <v>17718.75</v>
      </c>
      <c r="AB681" s="200">
        <f t="shared" si="784"/>
        <v>4</v>
      </c>
      <c r="AC681" s="167">
        <f t="shared" si="785"/>
        <v>70875</v>
      </c>
      <c r="AD681" s="164">
        <f>K681/4</f>
        <v>16031.25</v>
      </c>
      <c r="AE681" s="200">
        <f t="shared" si="787"/>
        <v>4</v>
      </c>
      <c r="AF681" s="167">
        <f t="shared" si="788"/>
        <v>64125</v>
      </c>
      <c r="AG681" s="67"/>
    </row>
    <row r="682" spans="1:33">
      <c r="A682" s="134"/>
      <c r="B682" s="212" t="s">
        <v>770</v>
      </c>
      <c r="C682" s="212"/>
      <c r="D682" s="212"/>
      <c r="E682" s="212"/>
      <c r="F682" s="212"/>
      <c r="G682" s="178"/>
      <c r="H682" s="178">
        <f t="shared" ref="H682:K682" si="794">SUM(H676:H681)</f>
        <v>778.85637400793644</v>
      </c>
      <c r="I682" s="178">
        <f t="shared" si="794"/>
        <v>895684.83010912698</v>
      </c>
      <c r="J682" s="178">
        <f t="shared" si="794"/>
        <v>817799.19270833326</v>
      </c>
      <c r="K682" s="178">
        <f t="shared" si="794"/>
        <v>739913.55530753965</v>
      </c>
      <c r="L682" s="132"/>
      <c r="M682" s="111"/>
      <c r="N682" s="111"/>
      <c r="O682" s="111"/>
      <c r="P682" s="111"/>
      <c r="Q682" s="111"/>
      <c r="R682" s="111"/>
      <c r="S682" s="712"/>
      <c r="T682" s="111"/>
      <c r="U682" s="111"/>
      <c r="V682" s="111"/>
      <c r="W682" s="111"/>
      <c r="X682" s="132"/>
      <c r="Y682" s="133"/>
      <c r="Z682" s="132"/>
      <c r="AA682" s="132"/>
      <c r="AB682" s="133"/>
      <c r="AC682" s="132"/>
      <c r="AD682" s="132"/>
      <c r="AE682" s="133"/>
      <c r="AF682" s="132"/>
      <c r="AG682" s="67"/>
    </row>
    <row r="683" spans="1:33">
      <c r="A683" s="9"/>
      <c r="B683" s="111"/>
      <c r="C683" s="111"/>
      <c r="D683" s="111"/>
      <c r="E683" s="111"/>
      <c r="F683" s="111"/>
      <c r="G683" s="111"/>
      <c r="H683" s="151"/>
      <c r="I683" s="151"/>
      <c r="J683" s="151"/>
      <c r="K683" s="151"/>
      <c r="L683" s="132"/>
      <c r="M683" s="111"/>
      <c r="N683" s="111"/>
      <c r="O683" s="111"/>
      <c r="P683" s="111"/>
      <c r="Q683" s="111"/>
      <c r="R683" s="111"/>
      <c r="S683" s="712"/>
      <c r="T683" s="111"/>
      <c r="U683" s="111"/>
      <c r="V683" s="111"/>
      <c r="W683" s="111"/>
      <c r="X683" s="132"/>
      <c r="Y683" s="111"/>
      <c r="Z683" s="111"/>
      <c r="AA683" s="111"/>
      <c r="AB683" s="111"/>
      <c r="AC683" s="111"/>
      <c r="AD683" s="111"/>
      <c r="AE683" s="111"/>
      <c r="AF683" s="111"/>
      <c r="AG683" s="67"/>
    </row>
    <row r="684" spans="1:33">
      <c r="A684" s="9"/>
      <c r="B684" s="111"/>
      <c r="C684" s="111"/>
      <c r="D684" s="111"/>
      <c r="E684" s="111"/>
      <c r="F684" s="111"/>
      <c r="G684" s="111"/>
      <c r="H684" s="151"/>
      <c r="I684" s="151"/>
      <c r="J684" s="151"/>
      <c r="K684" s="151"/>
      <c r="L684" s="132"/>
      <c r="M684" s="111"/>
      <c r="N684" s="111"/>
      <c r="O684" s="111"/>
      <c r="P684" s="111"/>
      <c r="Q684" s="111"/>
      <c r="R684" s="111"/>
      <c r="S684" s="712"/>
      <c r="T684" s="111"/>
      <c r="U684" s="111"/>
      <c r="V684" s="111"/>
      <c r="W684" s="111"/>
      <c r="X684" s="132"/>
      <c r="Y684" s="111"/>
      <c r="Z684" s="111"/>
      <c r="AA684" s="111"/>
      <c r="AB684" s="111"/>
      <c r="AC684" s="111"/>
      <c r="AD684" s="111"/>
      <c r="AE684" s="111"/>
      <c r="AF684" s="111"/>
      <c r="AG684" s="67"/>
    </row>
    <row r="685" spans="1:33">
      <c r="A685" s="725">
        <v>39</v>
      </c>
      <c r="B685" s="726" t="e" vm="1">
        <f>'[2]AUN Budget'!E189</f>
        <v>#VALUE!</v>
      </c>
      <c r="C685" s="731"/>
      <c r="D685" s="731"/>
      <c r="E685" s="731"/>
      <c r="F685" s="731"/>
      <c r="G685" s="731"/>
      <c r="H685" s="731"/>
      <c r="I685" s="181">
        <v>1000</v>
      </c>
      <c r="J685" s="216">
        <v>1000</v>
      </c>
      <c r="K685" s="216">
        <v>1000</v>
      </c>
      <c r="L685" s="111"/>
      <c r="M685" s="111"/>
      <c r="N685" s="111"/>
      <c r="O685" s="111"/>
      <c r="P685" s="111"/>
      <c r="Q685" s="111"/>
      <c r="R685" s="111"/>
      <c r="S685" s="712"/>
      <c r="T685" s="111"/>
      <c r="U685" s="111"/>
      <c r="V685" s="111"/>
      <c r="W685" s="111"/>
      <c r="X685" s="132"/>
      <c r="Y685" s="133"/>
      <c r="Z685" s="132"/>
      <c r="AA685" s="132"/>
      <c r="AB685" s="133"/>
      <c r="AC685" s="132"/>
      <c r="AD685" s="132"/>
      <c r="AE685" s="133"/>
      <c r="AF685" s="132"/>
      <c r="AG685" s="67"/>
    </row>
    <row r="686" spans="1:33">
      <c r="A686" s="157" t="s">
        <v>82</v>
      </c>
      <c r="B686" s="113" t="s">
        <v>755</v>
      </c>
      <c r="C686" s="113" t="s">
        <v>966</v>
      </c>
      <c r="D686" s="113" t="s">
        <v>967</v>
      </c>
      <c r="E686" s="113" t="s">
        <v>968</v>
      </c>
      <c r="F686" s="113" t="s">
        <v>969</v>
      </c>
      <c r="G686" s="113" t="s">
        <v>970</v>
      </c>
      <c r="H686" s="113" t="s">
        <v>971</v>
      </c>
      <c r="I686" s="113" t="s">
        <v>972</v>
      </c>
      <c r="J686" s="113" t="s">
        <v>973</v>
      </c>
      <c r="K686" s="113" t="s">
        <v>974</v>
      </c>
      <c r="L686" s="182"/>
      <c r="M686" s="182"/>
      <c r="N686" s="182"/>
      <c r="O686" s="182"/>
      <c r="P686" s="182"/>
      <c r="Q686" s="182"/>
      <c r="R686" s="182"/>
      <c r="S686" s="727"/>
      <c r="T686" s="159" t="s">
        <v>387</v>
      </c>
      <c r="U686" s="159" t="s">
        <v>388</v>
      </c>
      <c r="V686" s="159" t="s">
        <v>934</v>
      </c>
      <c r="W686" s="160" t="s">
        <v>935</v>
      </c>
      <c r="X686" s="161" t="s">
        <v>936</v>
      </c>
      <c r="Y686" s="162" t="s">
        <v>937</v>
      </c>
      <c r="Z686" s="161" t="s">
        <v>938</v>
      </c>
      <c r="AA686" s="161" t="s">
        <v>939</v>
      </c>
      <c r="AB686" s="162" t="s">
        <v>940</v>
      </c>
      <c r="AC686" s="161" t="s">
        <v>941</v>
      </c>
      <c r="AD686" s="161" t="s">
        <v>942</v>
      </c>
      <c r="AE686" s="162" t="s">
        <v>943</v>
      </c>
      <c r="AF686" s="161" t="s">
        <v>944</v>
      </c>
      <c r="AG686" s="67"/>
    </row>
    <row r="687" spans="1:33">
      <c r="A687" s="134"/>
      <c r="B687" s="153">
        <v>1</v>
      </c>
      <c r="C687" s="121" t="s">
        <v>992</v>
      </c>
      <c r="D687" s="121" t="s">
        <v>1290</v>
      </c>
      <c r="E687" s="209"/>
      <c r="F687" s="164">
        <v>1</v>
      </c>
      <c r="G687" s="164">
        <f>'Assumptions Other_AUN'!$D$25</f>
        <v>225</v>
      </c>
      <c r="H687" s="164">
        <f t="shared" ref="H687:H688" si="795">F687*G687</f>
        <v>225</v>
      </c>
      <c r="I687" s="164">
        <f t="shared" ref="I687:K687" si="796">$H687*I$685</f>
        <v>225000</v>
      </c>
      <c r="J687" s="164">
        <f t="shared" si="796"/>
        <v>225000</v>
      </c>
      <c r="K687" s="164">
        <f t="shared" si="796"/>
        <v>225000</v>
      </c>
      <c r="L687" s="111"/>
      <c r="M687" s="111"/>
      <c r="N687" s="111"/>
      <c r="O687" s="111"/>
      <c r="P687" s="111"/>
      <c r="Q687" s="111"/>
      <c r="R687" s="111"/>
      <c r="S687" s="712"/>
      <c r="T687" s="169" t="s">
        <v>946</v>
      </c>
      <c r="U687" s="169" t="s">
        <v>946</v>
      </c>
      <c r="V687" s="121" t="s">
        <v>994</v>
      </c>
      <c r="W687" s="121" t="s">
        <v>789</v>
      </c>
      <c r="X687" s="170">
        <f t="shared" ref="X687:X689" si="797">G687</f>
        <v>225</v>
      </c>
      <c r="Y687" s="200">
        <f t="shared" ref="Y687:Y692" si="798">I687/X687</f>
        <v>1000</v>
      </c>
      <c r="Z687" s="167">
        <f t="shared" ref="Z687:Z692" si="799">X687*Y687</f>
        <v>225000</v>
      </c>
      <c r="AA687" s="164">
        <f t="shared" ref="AA687:AA691" si="800">X687</f>
        <v>225</v>
      </c>
      <c r="AB687" s="200">
        <f t="shared" ref="AB687:AB692" si="801">J687/AA687</f>
        <v>1000</v>
      </c>
      <c r="AC687" s="167">
        <f t="shared" ref="AC687:AC692" si="802">AA687*AB687</f>
        <v>225000</v>
      </c>
      <c r="AD687" s="164">
        <f t="shared" ref="AD687:AD690" si="803">AA687</f>
        <v>225</v>
      </c>
      <c r="AE687" s="200">
        <f t="shared" ref="AE687:AE692" si="804">K687/AD687</f>
        <v>1000</v>
      </c>
      <c r="AF687" s="167">
        <f t="shared" ref="AF687:AF692" si="805">AD687*AE687</f>
        <v>225000</v>
      </c>
      <c r="AG687" s="67"/>
    </row>
    <row r="688" spans="1:33">
      <c r="A688" s="134"/>
      <c r="B688" s="153">
        <v>2</v>
      </c>
      <c r="C688" s="121" t="s">
        <v>992</v>
      </c>
      <c r="D688" s="121" t="s">
        <v>1291</v>
      </c>
      <c r="E688" s="209"/>
      <c r="F688" s="164">
        <v>4</v>
      </c>
      <c r="G688" s="164">
        <f>'Assumptions Other_AUN'!$D$25</f>
        <v>225</v>
      </c>
      <c r="H688" s="164">
        <f t="shared" si="795"/>
        <v>900</v>
      </c>
      <c r="I688" s="164">
        <f t="shared" ref="I688:K688" si="806">$H688*I$685</f>
        <v>900000</v>
      </c>
      <c r="J688" s="164">
        <f t="shared" si="806"/>
        <v>900000</v>
      </c>
      <c r="K688" s="164">
        <f t="shared" si="806"/>
        <v>900000</v>
      </c>
      <c r="L688" s="111"/>
      <c r="M688" s="111"/>
      <c r="N688" s="111"/>
      <c r="O688" s="111"/>
      <c r="P688" s="111"/>
      <c r="Q688" s="111"/>
      <c r="R688" s="111"/>
      <c r="S688" s="712"/>
      <c r="T688" s="169" t="s">
        <v>946</v>
      </c>
      <c r="U688" s="169" t="s">
        <v>946</v>
      </c>
      <c r="V688" s="121" t="s">
        <v>994</v>
      </c>
      <c r="W688" s="121" t="s">
        <v>789</v>
      </c>
      <c r="X688" s="170">
        <f t="shared" si="797"/>
        <v>225</v>
      </c>
      <c r="Y688" s="200">
        <f t="shared" si="798"/>
        <v>4000</v>
      </c>
      <c r="Z688" s="167">
        <f t="shared" si="799"/>
        <v>900000</v>
      </c>
      <c r="AA688" s="164">
        <f t="shared" si="800"/>
        <v>225</v>
      </c>
      <c r="AB688" s="200">
        <f t="shared" si="801"/>
        <v>4000</v>
      </c>
      <c r="AC688" s="167">
        <f t="shared" si="802"/>
        <v>900000</v>
      </c>
      <c r="AD688" s="164">
        <f t="shared" si="803"/>
        <v>225</v>
      </c>
      <c r="AE688" s="200">
        <f t="shared" si="804"/>
        <v>4000</v>
      </c>
      <c r="AF688" s="167">
        <f t="shared" si="805"/>
        <v>900000</v>
      </c>
      <c r="AG688" s="67"/>
    </row>
    <row r="689" spans="1:33">
      <c r="A689" s="134"/>
      <c r="B689" s="153">
        <v>3</v>
      </c>
      <c r="C689" s="121" t="s">
        <v>992</v>
      </c>
      <c r="D689" s="121" t="s">
        <v>1292</v>
      </c>
      <c r="E689" s="209">
        <v>1</v>
      </c>
      <c r="F689" s="164">
        <v>1.25</v>
      </c>
      <c r="G689" s="164">
        <f>'Assumptions Other_AUN'!$D$25</f>
        <v>225</v>
      </c>
      <c r="H689" s="164">
        <f t="shared" ref="H689:H690" si="807">E689*F689*G689</f>
        <v>281.25</v>
      </c>
      <c r="I689" s="164">
        <f t="shared" ref="I689:K689" si="808">$H689*I$685</f>
        <v>281250</v>
      </c>
      <c r="J689" s="164">
        <f t="shared" si="808"/>
        <v>281250</v>
      </c>
      <c r="K689" s="164">
        <f t="shared" si="808"/>
        <v>281250</v>
      </c>
      <c r="L689" s="111"/>
      <c r="M689" s="111"/>
      <c r="N689" s="111"/>
      <c r="O689" s="111"/>
      <c r="P689" s="111"/>
      <c r="Q689" s="111"/>
      <c r="R689" s="111"/>
      <c r="S689" s="712"/>
      <c r="T689" s="169" t="s">
        <v>946</v>
      </c>
      <c r="U689" s="169" t="s">
        <v>946</v>
      </c>
      <c r="V689" s="121" t="s">
        <v>994</v>
      </c>
      <c r="W689" s="121" t="s">
        <v>789</v>
      </c>
      <c r="X689" s="170">
        <f t="shared" si="797"/>
        <v>225</v>
      </c>
      <c r="Y689" s="200">
        <f t="shared" si="798"/>
        <v>1250</v>
      </c>
      <c r="Z689" s="167">
        <f t="shared" si="799"/>
        <v>281250</v>
      </c>
      <c r="AA689" s="164">
        <f t="shared" si="800"/>
        <v>225</v>
      </c>
      <c r="AB689" s="200">
        <f t="shared" si="801"/>
        <v>1250</v>
      </c>
      <c r="AC689" s="167">
        <f t="shared" si="802"/>
        <v>281250</v>
      </c>
      <c r="AD689" s="164">
        <f t="shared" si="803"/>
        <v>225</v>
      </c>
      <c r="AE689" s="200">
        <f t="shared" si="804"/>
        <v>1250</v>
      </c>
      <c r="AF689" s="167">
        <f t="shared" si="805"/>
        <v>281250</v>
      </c>
      <c r="AG689" s="67"/>
    </row>
    <row r="690" spans="1:33">
      <c r="A690" s="134"/>
      <c r="B690" s="153">
        <v>4</v>
      </c>
      <c r="C690" s="121" t="s">
        <v>978</v>
      </c>
      <c r="D690" s="234" t="s">
        <v>1293</v>
      </c>
      <c r="E690" s="209">
        <v>1</v>
      </c>
      <c r="F690" s="164">
        <v>4</v>
      </c>
      <c r="G690" s="164">
        <f>'Assumptions HR_AUN'!$F$8</f>
        <v>80.053187003968247</v>
      </c>
      <c r="H690" s="164">
        <f t="shared" si="807"/>
        <v>320.21274801587299</v>
      </c>
      <c r="I690" s="164">
        <f t="shared" ref="I690:K690" si="809">$H690*I$685</f>
        <v>320212.74801587302</v>
      </c>
      <c r="J690" s="164">
        <f t="shared" si="809"/>
        <v>320212.74801587302</v>
      </c>
      <c r="K690" s="164">
        <f t="shared" si="809"/>
        <v>320212.74801587302</v>
      </c>
      <c r="L690" s="111"/>
      <c r="M690" s="111"/>
      <c r="N690" s="111"/>
      <c r="O690" s="111"/>
      <c r="P690" s="111"/>
      <c r="Q690" s="111"/>
      <c r="R690" s="111"/>
      <c r="S690" s="712"/>
      <c r="T690" s="169" t="s">
        <v>946</v>
      </c>
      <c r="U690" s="169" t="s">
        <v>946</v>
      </c>
      <c r="V690" s="121" t="s">
        <v>977</v>
      </c>
      <c r="W690" s="121" t="s">
        <v>961</v>
      </c>
      <c r="X690" s="170">
        <f>G690*$D$35*$D$36</f>
        <v>40346.806249999994</v>
      </c>
      <c r="Y690" s="200">
        <f t="shared" si="798"/>
        <v>7.9365079365079376</v>
      </c>
      <c r="Z690" s="167">
        <f t="shared" si="799"/>
        <v>320212.74801587302</v>
      </c>
      <c r="AA690" s="164">
        <f t="shared" si="800"/>
        <v>40346.806249999994</v>
      </c>
      <c r="AB690" s="200">
        <f t="shared" si="801"/>
        <v>7.9365079365079376</v>
      </c>
      <c r="AC690" s="167">
        <f t="shared" si="802"/>
        <v>320212.74801587302</v>
      </c>
      <c r="AD690" s="164">
        <f t="shared" si="803"/>
        <v>40346.806249999994</v>
      </c>
      <c r="AE690" s="200">
        <f t="shared" si="804"/>
        <v>7.9365079365079376</v>
      </c>
      <c r="AF690" s="167">
        <f t="shared" si="805"/>
        <v>320212.74801587302</v>
      </c>
      <c r="AG690" s="67"/>
    </row>
    <row r="691" spans="1:33">
      <c r="A691" s="134"/>
      <c r="B691" s="153">
        <v>5</v>
      </c>
      <c r="C691" s="121" t="s">
        <v>1001</v>
      </c>
      <c r="D691" s="121"/>
      <c r="E691" s="209"/>
      <c r="F691" s="164"/>
      <c r="G691" s="185">
        <f>$C$13</f>
        <v>0.1</v>
      </c>
      <c r="H691" s="164">
        <f>SUM(H687:H688)*G691</f>
        <v>112.5</v>
      </c>
      <c r="I691" s="164">
        <f t="shared" ref="I691:K691" si="810">$H691*I$685</f>
        <v>112500</v>
      </c>
      <c r="J691" s="164">
        <f t="shared" si="810"/>
        <v>112500</v>
      </c>
      <c r="K691" s="164">
        <f t="shared" si="810"/>
        <v>112500</v>
      </c>
      <c r="L691" s="111"/>
      <c r="M691" s="111"/>
      <c r="N691" s="111"/>
      <c r="O691" s="111"/>
      <c r="P691" s="111"/>
      <c r="Q691" s="111"/>
      <c r="R691" s="111"/>
      <c r="S691" s="712"/>
      <c r="T691" s="169" t="s">
        <v>946</v>
      </c>
      <c r="U691" s="169" t="s">
        <v>946</v>
      </c>
      <c r="V691" s="121" t="s">
        <v>875</v>
      </c>
      <c r="W691" s="121" t="s">
        <v>961</v>
      </c>
      <c r="X691" s="170">
        <f>'Assumptions HR_AUN'!$D$4*3</f>
        <v>88211.039066799218</v>
      </c>
      <c r="Y691" s="200">
        <f t="shared" si="798"/>
        <v>1.2753505818563999</v>
      </c>
      <c r="Z691" s="167">
        <f t="shared" si="799"/>
        <v>112500.00000000001</v>
      </c>
      <c r="AA691" s="164">
        <f t="shared" si="800"/>
        <v>88211.039066799218</v>
      </c>
      <c r="AB691" s="200">
        <f t="shared" si="801"/>
        <v>1.2753505818563999</v>
      </c>
      <c r="AC691" s="167">
        <f t="shared" si="802"/>
        <v>112500.00000000001</v>
      </c>
      <c r="AD691" s="164">
        <f>'Assumptions HR_AUN'!$D$4*3</f>
        <v>88211.039066799218</v>
      </c>
      <c r="AE691" s="200">
        <f t="shared" si="804"/>
        <v>1.2753505818563999</v>
      </c>
      <c r="AF691" s="167">
        <f t="shared" si="805"/>
        <v>112500.00000000001</v>
      </c>
      <c r="AG691" s="67"/>
    </row>
    <row r="692" spans="1:33">
      <c r="A692" s="134"/>
      <c r="B692" s="153">
        <v>6</v>
      </c>
      <c r="C692" s="121" t="s">
        <v>962</v>
      </c>
      <c r="D692" s="121"/>
      <c r="E692" s="209"/>
      <c r="F692" s="121"/>
      <c r="G692" s="185">
        <f>$C$14</f>
        <v>0.15</v>
      </c>
      <c r="H692" s="164">
        <f>SUM(H687:H688)*G692</f>
        <v>168.75</v>
      </c>
      <c r="I692" s="164">
        <f t="shared" ref="I692:K692" si="811">$H692*I$685</f>
        <v>168750</v>
      </c>
      <c r="J692" s="164">
        <f t="shared" si="811"/>
        <v>168750</v>
      </c>
      <c r="K692" s="164">
        <f t="shared" si="811"/>
        <v>168750</v>
      </c>
      <c r="L692" s="111"/>
      <c r="M692" s="111"/>
      <c r="N692" s="111"/>
      <c r="O692" s="111"/>
      <c r="P692" s="111"/>
      <c r="Q692" s="111"/>
      <c r="R692" s="111"/>
      <c r="S692" s="712"/>
      <c r="T692" s="169" t="s">
        <v>946</v>
      </c>
      <c r="U692" s="169" t="s">
        <v>946</v>
      </c>
      <c r="V692" s="121" t="s">
        <v>881</v>
      </c>
      <c r="W692" s="121" t="s">
        <v>964</v>
      </c>
      <c r="X692" s="170">
        <f>I692/4</f>
        <v>42187.5</v>
      </c>
      <c r="Y692" s="200">
        <f t="shared" si="798"/>
        <v>4</v>
      </c>
      <c r="Z692" s="167">
        <f t="shared" si="799"/>
        <v>168750</v>
      </c>
      <c r="AA692" s="164">
        <f>J692/4</f>
        <v>42187.5</v>
      </c>
      <c r="AB692" s="200">
        <f t="shared" si="801"/>
        <v>4</v>
      </c>
      <c r="AC692" s="167">
        <f t="shared" si="802"/>
        <v>168750</v>
      </c>
      <c r="AD692" s="164">
        <f>K692/4</f>
        <v>42187.5</v>
      </c>
      <c r="AE692" s="200">
        <f t="shared" si="804"/>
        <v>4</v>
      </c>
      <c r="AF692" s="167">
        <f t="shared" si="805"/>
        <v>168750</v>
      </c>
      <c r="AG692" s="67"/>
    </row>
    <row r="693" spans="1:33">
      <c r="A693" s="134"/>
      <c r="B693" s="212" t="s">
        <v>770</v>
      </c>
      <c r="C693" s="212"/>
      <c r="D693" s="212"/>
      <c r="E693" s="212"/>
      <c r="F693" s="212"/>
      <c r="G693" s="178"/>
      <c r="H693" s="178">
        <f t="shared" ref="H693:K693" si="812">SUM(H687:H692)</f>
        <v>2007.7127480158729</v>
      </c>
      <c r="I693" s="178">
        <f t="shared" si="812"/>
        <v>2007712.7480158731</v>
      </c>
      <c r="J693" s="178">
        <f t="shared" si="812"/>
        <v>2007712.7480158731</v>
      </c>
      <c r="K693" s="178">
        <f t="shared" si="812"/>
        <v>2007712.7480158731</v>
      </c>
      <c r="L693" s="111"/>
      <c r="M693" s="111"/>
      <c r="N693" s="111"/>
      <c r="O693" s="111"/>
      <c r="P693" s="111"/>
      <c r="Q693" s="111"/>
      <c r="R693" s="111"/>
      <c r="S693" s="712"/>
      <c r="T693" s="111"/>
      <c r="U693" s="111"/>
      <c r="V693" s="111"/>
      <c r="W693" s="111"/>
      <c r="X693" s="132"/>
      <c r="Y693" s="133"/>
      <c r="Z693" s="132"/>
      <c r="AA693" s="132"/>
      <c r="AB693" s="133"/>
      <c r="AC693" s="132"/>
      <c r="AD693" s="132"/>
      <c r="AE693" s="133"/>
      <c r="AF693" s="132"/>
      <c r="AG693" s="67"/>
    </row>
    <row r="694" spans="1:33">
      <c r="A694" s="9"/>
      <c r="B694" s="111"/>
      <c r="C694" s="111"/>
      <c r="D694" s="111"/>
      <c r="E694" s="111"/>
      <c r="F694" s="111"/>
      <c r="G694" s="111"/>
      <c r="H694" s="151"/>
      <c r="I694" s="151"/>
      <c r="J694" s="151"/>
      <c r="K694" s="151"/>
      <c r="L694" s="111"/>
      <c r="M694" s="111"/>
      <c r="N694" s="111"/>
      <c r="O694" s="111"/>
      <c r="P694" s="111"/>
      <c r="Q694" s="111"/>
      <c r="R694" s="111"/>
      <c r="S694" s="712"/>
      <c r="T694" s="111"/>
      <c r="U694" s="111"/>
      <c r="V694" s="111"/>
      <c r="W694" s="111"/>
      <c r="X694" s="132"/>
      <c r="Y694" s="111"/>
      <c r="Z694" s="111"/>
      <c r="AA694" s="111"/>
      <c r="AB694" s="111"/>
      <c r="AC694" s="111"/>
      <c r="AD694" s="111"/>
      <c r="AE694" s="111"/>
      <c r="AF694" s="111"/>
      <c r="AG694" s="67"/>
    </row>
    <row r="695" spans="1:33">
      <c r="A695" s="9"/>
      <c r="B695" s="111"/>
      <c r="C695" s="111"/>
      <c r="D695" s="111"/>
      <c r="E695" s="111"/>
      <c r="F695" s="111"/>
      <c r="G695" s="111"/>
      <c r="H695" s="151"/>
      <c r="I695" s="151"/>
      <c r="J695" s="151"/>
      <c r="K695" s="151"/>
      <c r="L695" s="111"/>
      <c r="M695" s="111"/>
      <c r="N695" s="111"/>
      <c r="O695" s="111"/>
      <c r="P695" s="111"/>
      <c r="Q695" s="111"/>
      <c r="R695" s="111"/>
      <c r="S695" s="712"/>
      <c r="T695" s="111"/>
      <c r="U695" s="111"/>
      <c r="V695" s="111"/>
      <c r="W695" s="111"/>
      <c r="X695" s="132"/>
      <c r="Y695" s="111"/>
      <c r="Z695" s="111"/>
      <c r="AA695" s="111"/>
      <c r="AB695" s="111"/>
      <c r="AC695" s="111"/>
      <c r="AD695" s="111"/>
      <c r="AE695" s="111"/>
      <c r="AF695" s="111"/>
      <c r="AG695" s="67"/>
    </row>
    <row r="696" spans="1:33">
      <c r="A696" s="9"/>
      <c r="B696" s="111"/>
      <c r="C696" s="111"/>
      <c r="D696" s="111"/>
      <c r="E696" s="111"/>
      <c r="F696" s="111"/>
      <c r="G696" s="111"/>
      <c r="H696" s="111"/>
      <c r="I696" s="111"/>
      <c r="J696" s="111"/>
      <c r="K696" s="111"/>
      <c r="L696" s="111"/>
      <c r="M696" s="111"/>
      <c r="N696" s="215"/>
      <c r="O696" s="111"/>
      <c r="P696" s="111"/>
      <c r="Q696" s="111"/>
      <c r="R696" s="111"/>
      <c r="S696" s="712"/>
      <c r="T696" s="111"/>
      <c r="U696" s="111"/>
      <c r="V696" s="111"/>
      <c r="W696" s="111"/>
      <c r="X696" s="132"/>
      <c r="Y696" s="133"/>
      <c r="Z696" s="132"/>
      <c r="AA696" s="132"/>
      <c r="AB696" s="133"/>
      <c r="AC696" s="132"/>
      <c r="AD696" s="132"/>
      <c r="AE696" s="133"/>
      <c r="AF696" s="132"/>
      <c r="AG696" s="67"/>
    </row>
    <row r="697" spans="1:33">
      <c r="A697" s="725">
        <v>40</v>
      </c>
      <c r="B697" s="726" t="e" vm="1">
        <f>'[2]AUN Budget'!$E$176</f>
        <v>#VALUE!</v>
      </c>
      <c r="C697" s="731"/>
      <c r="D697" s="731"/>
      <c r="E697" s="731"/>
      <c r="F697" s="731"/>
      <c r="G697" s="731"/>
      <c r="H697" s="731"/>
      <c r="I697" s="181">
        <v>350</v>
      </c>
      <c r="J697" s="216">
        <v>350</v>
      </c>
      <c r="K697" s="216">
        <v>300</v>
      </c>
      <c r="L697" s="111"/>
      <c r="M697" s="111"/>
      <c r="N697" s="111"/>
      <c r="O697" s="111"/>
      <c r="P697" s="111"/>
      <c r="Q697" s="111"/>
      <c r="R697" s="111"/>
      <c r="S697" s="712"/>
      <c r="T697" s="111"/>
      <c r="U697" s="111"/>
      <c r="V697" s="111"/>
      <c r="W697" s="111"/>
      <c r="X697" s="132"/>
      <c r="Y697" s="133"/>
      <c r="Z697" s="132"/>
      <c r="AA697" s="132"/>
      <c r="AB697" s="133"/>
      <c r="AC697" s="132"/>
      <c r="AD697" s="132"/>
      <c r="AE697" s="133"/>
      <c r="AF697" s="132"/>
      <c r="AG697" s="67"/>
    </row>
    <row r="698" spans="1:33">
      <c r="A698" s="157" t="s">
        <v>40</v>
      </c>
      <c r="B698" s="113" t="s">
        <v>755</v>
      </c>
      <c r="C698" s="113" t="s">
        <v>966</v>
      </c>
      <c r="D698" s="113" t="s">
        <v>967</v>
      </c>
      <c r="E698" s="113" t="s">
        <v>968</v>
      </c>
      <c r="F698" s="113" t="s">
        <v>969</v>
      </c>
      <c r="G698" s="113" t="s">
        <v>970</v>
      </c>
      <c r="H698" s="113" t="s">
        <v>971</v>
      </c>
      <c r="I698" s="113" t="s">
        <v>972</v>
      </c>
      <c r="J698" s="113" t="s">
        <v>973</v>
      </c>
      <c r="K698" s="113" t="s">
        <v>974</v>
      </c>
      <c r="L698" s="111"/>
      <c r="M698" s="111"/>
      <c r="N698" s="111"/>
      <c r="O698" s="111"/>
      <c r="P698" s="111"/>
      <c r="Q698" s="182"/>
      <c r="R698" s="182"/>
      <c r="S698" s="727"/>
      <c r="T698" s="159" t="s">
        <v>387</v>
      </c>
      <c r="U698" s="159" t="s">
        <v>388</v>
      </c>
      <c r="V698" s="159" t="s">
        <v>934</v>
      </c>
      <c r="W698" s="160" t="s">
        <v>935</v>
      </c>
      <c r="X698" s="161" t="s">
        <v>936</v>
      </c>
      <c r="Y698" s="162" t="s">
        <v>937</v>
      </c>
      <c r="Z698" s="161" t="s">
        <v>938</v>
      </c>
      <c r="AA698" s="161" t="s">
        <v>939</v>
      </c>
      <c r="AB698" s="162" t="s">
        <v>940</v>
      </c>
      <c r="AC698" s="161" t="s">
        <v>941</v>
      </c>
      <c r="AD698" s="161" t="s">
        <v>942</v>
      </c>
      <c r="AE698" s="162" t="s">
        <v>943</v>
      </c>
      <c r="AF698" s="161" t="s">
        <v>944</v>
      </c>
      <c r="AG698" s="67"/>
    </row>
    <row r="699" spans="1:33">
      <c r="A699" s="134"/>
      <c r="B699" s="153">
        <v>1</v>
      </c>
      <c r="C699" s="121" t="s">
        <v>992</v>
      </c>
      <c r="D699" s="121" t="s">
        <v>1294</v>
      </c>
      <c r="E699" s="209"/>
      <c r="F699" s="164">
        <v>1</v>
      </c>
      <c r="G699" s="164">
        <f t="shared" ref="G699:G700" si="813">$D$23</f>
        <v>1025</v>
      </c>
      <c r="H699" s="164">
        <f t="shared" ref="H699:H700" si="814">F699*G699</f>
        <v>1025</v>
      </c>
      <c r="I699" s="164">
        <f t="shared" ref="I699:K699" si="815">$H699*I$697</f>
        <v>358750</v>
      </c>
      <c r="J699" s="164">
        <f t="shared" si="815"/>
        <v>358750</v>
      </c>
      <c r="K699" s="164">
        <f t="shared" si="815"/>
        <v>307500</v>
      </c>
      <c r="L699" s="111"/>
      <c r="M699" s="111"/>
      <c r="N699" s="111"/>
      <c r="O699" s="111"/>
      <c r="P699" s="111"/>
      <c r="Q699" s="111"/>
      <c r="R699" s="111"/>
      <c r="S699" s="712"/>
      <c r="T699" s="169" t="s">
        <v>946</v>
      </c>
      <c r="U699" s="169" t="s">
        <v>946</v>
      </c>
      <c r="V699" s="121" t="s">
        <v>994</v>
      </c>
      <c r="W699" s="121" t="s">
        <v>789</v>
      </c>
      <c r="X699" s="170">
        <f t="shared" ref="X699:X700" si="816">G699</f>
        <v>1025</v>
      </c>
      <c r="Y699" s="200">
        <f t="shared" ref="Y699:Y707" si="817">I699/X699</f>
        <v>350</v>
      </c>
      <c r="Z699" s="167">
        <f t="shared" ref="Z699:Z707" si="818">X699*Y699</f>
        <v>358750</v>
      </c>
      <c r="AA699" s="164">
        <f t="shared" ref="AA699:AA707" si="819">X699</f>
        <v>1025</v>
      </c>
      <c r="AB699" s="200">
        <f t="shared" ref="AB699:AB707" si="820">J699/AA699</f>
        <v>350</v>
      </c>
      <c r="AC699" s="167">
        <f t="shared" ref="AC699:AC707" si="821">AA699*AB699</f>
        <v>358750</v>
      </c>
      <c r="AD699" s="164">
        <f t="shared" ref="AD699:AD707" si="822">AA699</f>
        <v>1025</v>
      </c>
      <c r="AE699" s="200">
        <f t="shared" ref="AE699:AE707" si="823">K699/AD699</f>
        <v>300</v>
      </c>
      <c r="AF699" s="167">
        <f t="shared" ref="AF699:AF707" si="824">AD699*AE699</f>
        <v>307500</v>
      </c>
      <c r="AG699" s="67"/>
    </row>
    <row r="700" spans="1:33">
      <c r="A700" s="134"/>
      <c r="B700" s="153">
        <v>2</v>
      </c>
      <c r="C700" s="121" t="s">
        <v>992</v>
      </c>
      <c r="D700" s="121" t="s">
        <v>1295</v>
      </c>
      <c r="E700" s="209"/>
      <c r="F700" s="164">
        <v>0.25</v>
      </c>
      <c r="G700" s="164">
        <f t="shared" si="813"/>
        <v>1025</v>
      </c>
      <c r="H700" s="164">
        <f t="shared" si="814"/>
        <v>256.25</v>
      </c>
      <c r="I700" s="164">
        <f t="shared" ref="I700:K700" si="825">$H700*I$697</f>
        <v>89687.5</v>
      </c>
      <c r="J700" s="164">
        <f t="shared" si="825"/>
        <v>89687.5</v>
      </c>
      <c r="K700" s="164">
        <f t="shared" si="825"/>
        <v>76875</v>
      </c>
      <c r="L700" s="111"/>
      <c r="M700" s="111"/>
      <c r="N700" s="111"/>
      <c r="O700" s="111"/>
      <c r="P700" s="111"/>
      <c r="Q700" s="111"/>
      <c r="R700" s="111"/>
      <c r="S700" s="712"/>
      <c r="T700" s="169" t="s">
        <v>946</v>
      </c>
      <c r="U700" s="169" t="s">
        <v>946</v>
      </c>
      <c r="V700" s="121" t="s">
        <v>994</v>
      </c>
      <c r="W700" s="121" t="s">
        <v>789</v>
      </c>
      <c r="X700" s="170">
        <f t="shared" si="816"/>
        <v>1025</v>
      </c>
      <c r="Y700" s="200">
        <f t="shared" si="817"/>
        <v>87.5</v>
      </c>
      <c r="Z700" s="167">
        <f t="shared" si="818"/>
        <v>89687.5</v>
      </c>
      <c r="AA700" s="164">
        <f t="shared" si="819"/>
        <v>1025</v>
      </c>
      <c r="AB700" s="200">
        <f t="shared" si="820"/>
        <v>87.5</v>
      </c>
      <c r="AC700" s="167">
        <f t="shared" si="821"/>
        <v>89687.5</v>
      </c>
      <c r="AD700" s="164">
        <f t="shared" si="822"/>
        <v>1025</v>
      </c>
      <c r="AE700" s="200">
        <f t="shared" si="823"/>
        <v>75</v>
      </c>
      <c r="AF700" s="167">
        <f t="shared" si="824"/>
        <v>76875</v>
      </c>
      <c r="AG700" s="67"/>
    </row>
    <row r="701" spans="1:33">
      <c r="A701" s="134"/>
      <c r="B701" s="153">
        <v>3</v>
      </c>
      <c r="C701" s="121" t="s">
        <v>978</v>
      </c>
      <c r="D701" s="121" t="s">
        <v>1296</v>
      </c>
      <c r="E701" s="209">
        <v>0.5</v>
      </c>
      <c r="F701" s="164">
        <v>8</v>
      </c>
      <c r="G701" s="164">
        <f>'Assumptions HR_AUN'!$F$8</f>
        <v>80.053187003968247</v>
      </c>
      <c r="H701" s="164">
        <f t="shared" ref="H701:H702" si="826">E701*F701*G701</f>
        <v>320.21274801587299</v>
      </c>
      <c r="I701" s="164">
        <f t="shared" ref="I701:K701" si="827">$H701*I$697</f>
        <v>112074.46180555555</v>
      </c>
      <c r="J701" s="164">
        <f t="shared" si="827"/>
        <v>112074.46180555555</v>
      </c>
      <c r="K701" s="164">
        <f t="shared" si="827"/>
        <v>96063.824404761894</v>
      </c>
      <c r="L701" s="111"/>
      <c r="M701" s="111"/>
      <c r="N701" s="111"/>
      <c r="O701" s="111"/>
      <c r="P701" s="111"/>
      <c r="Q701" s="111"/>
      <c r="R701" s="111"/>
      <c r="S701" s="712"/>
      <c r="T701" s="169" t="s">
        <v>946</v>
      </c>
      <c r="U701" s="169" t="s">
        <v>946</v>
      </c>
      <c r="V701" s="121" t="s">
        <v>977</v>
      </c>
      <c r="W701" s="121" t="s">
        <v>961</v>
      </c>
      <c r="X701" s="170">
        <f>G701*$D$35*$D$36</f>
        <v>40346.806249999994</v>
      </c>
      <c r="Y701" s="200">
        <f t="shared" si="817"/>
        <v>2.7777777777777781</v>
      </c>
      <c r="Z701" s="167">
        <f t="shared" si="818"/>
        <v>112074.46180555555</v>
      </c>
      <c r="AA701" s="164">
        <f t="shared" si="819"/>
        <v>40346.806249999994</v>
      </c>
      <c r="AB701" s="200">
        <f t="shared" si="820"/>
        <v>2.7777777777777781</v>
      </c>
      <c r="AC701" s="167">
        <f t="shared" si="821"/>
        <v>112074.46180555555</v>
      </c>
      <c r="AD701" s="164">
        <f t="shared" si="822"/>
        <v>40346.806249999994</v>
      </c>
      <c r="AE701" s="200">
        <f t="shared" si="823"/>
        <v>2.3809523809523809</v>
      </c>
      <c r="AF701" s="167">
        <f t="shared" si="824"/>
        <v>96063.824404761894</v>
      </c>
      <c r="AG701" s="67"/>
    </row>
    <row r="702" spans="1:33">
      <c r="A702" s="134"/>
      <c r="B702" s="153">
        <v>4</v>
      </c>
      <c r="C702" s="121" t="s">
        <v>978</v>
      </c>
      <c r="D702" s="121" t="s">
        <v>1297</v>
      </c>
      <c r="E702" s="209">
        <v>0.5</v>
      </c>
      <c r="F702" s="164">
        <v>2</v>
      </c>
      <c r="G702" s="164">
        <f>'Assumptions HR_AUN'!$F$4</f>
        <v>175.0219029103159</v>
      </c>
      <c r="H702" s="164">
        <f t="shared" si="826"/>
        <v>175.0219029103159</v>
      </c>
      <c r="I702" s="164">
        <f t="shared" ref="I702:K702" si="828">$H702*I$697</f>
        <v>61257.666018610566</v>
      </c>
      <c r="J702" s="164">
        <f t="shared" si="828"/>
        <v>61257.666018610566</v>
      </c>
      <c r="K702" s="164">
        <f t="shared" si="828"/>
        <v>52506.570873094774</v>
      </c>
      <c r="L702" s="111"/>
      <c r="M702" s="111"/>
      <c r="N702" s="111"/>
      <c r="O702" s="111"/>
      <c r="P702" s="111"/>
      <c r="Q702" s="111"/>
      <c r="R702" s="111"/>
      <c r="S702" s="712"/>
      <c r="T702" s="169" t="s">
        <v>946</v>
      </c>
      <c r="U702" s="169" t="s">
        <v>946</v>
      </c>
      <c r="V702" s="121" t="s">
        <v>848</v>
      </c>
      <c r="W702" s="164" t="s">
        <v>947</v>
      </c>
      <c r="X702" s="170">
        <f>G702*$D$35*$D$36/20</f>
        <v>4410.5519533399611</v>
      </c>
      <c r="Y702" s="200">
        <f t="shared" si="817"/>
        <v>13.888888888888888</v>
      </c>
      <c r="Z702" s="167">
        <f t="shared" si="818"/>
        <v>61257.666018610566</v>
      </c>
      <c r="AA702" s="164">
        <f t="shared" si="819"/>
        <v>4410.5519533399611</v>
      </c>
      <c r="AB702" s="200">
        <f t="shared" si="820"/>
        <v>13.888888888888888</v>
      </c>
      <c r="AC702" s="167">
        <f t="shared" si="821"/>
        <v>61257.666018610566</v>
      </c>
      <c r="AD702" s="164">
        <f t="shared" si="822"/>
        <v>4410.5519533399611</v>
      </c>
      <c r="AE702" s="200">
        <f t="shared" si="823"/>
        <v>11.904761904761905</v>
      </c>
      <c r="AF702" s="167">
        <f t="shared" si="824"/>
        <v>52506.570873094774</v>
      </c>
      <c r="AG702" s="67"/>
    </row>
    <row r="703" spans="1:33">
      <c r="A703" s="134"/>
      <c r="B703" s="153">
        <v>5</v>
      </c>
      <c r="C703" s="121" t="s">
        <v>997</v>
      </c>
      <c r="D703" s="121" t="s">
        <v>1298</v>
      </c>
      <c r="E703" s="209"/>
      <c r="F703" s="164">
        <v>1</v>
      </c>
      <c r="G703" s="164">
        <f>$D$32</f>
        <v>60</v>
      </c>
      <c r="H703" s="164">
        <f t="shared" ref="H703:H705" si="829">F703*G703</f>
        <v>60</v>
      </c>
      <c r="I703" s="164">
        <f t="shared" ref="I703:K703" si="830">$H703*I$697</f>
        <v>21000</v>
      </c>
      <c r="J703" s="164">
        <f t="shared" si="830"/>
        <v>21000</v>
      </c>
      <c r="K703" s="164">
        <f t="shared" si="830"/>
        <v>18000</v>
      </c>
      <c r="L703" s="111"/>
      <c r="M703" s="111"/>
      <c r="N703" s="111"/>
      <c r="O703" s="111"/>
      <c r="P703" s="111"/>
      <c r="Q703" s="111"/>
      <c r="R703" s="111"/>
      <c r="S703" s="712"/>
      <c r="T703" s="169" t="s">
        <v>946</v>
      </c>
      <c r="U703" s="169" t="s">
        <v>946</v>
      </c>
      <c r="V703" s="121" t="s">
        <v>957</v>
      </c>
      <c r="W703" s="121" t="s">
        <v>789</v>
      </c>
      <c r="X703" s="170">
        <f t="shared" ref="X703:X705" si="831">G703</f>
        <v>60</v>
      </c>
      <c r="Y703" s="200">
        <f t="shared" si="817"/>
        <v>350</v>
      </c>
      <c r="Z703" s="167">
        <f t="shared" si="818"/>
        <v>21000</v>
      </c>
      <c r="AA703" s="164">
        <f t="shared" si="819"/>
        <v>60</v>
      </c>
      <c r="AB703" s="200">
        <f t="shared" si="820"/>
        <v>350</v>
      </c>
      <c r="AC703" s="167">
        <f t="shared" si="821"/>
        <v>21000</v>
      </c>
      <c r="AD703" s="164">
        <f t="shared" si="822"/>
        <v>60</v>
      </c>
      <c r="AE703" s="200">
        <f t="shared" si="823"/>
        <v>300</v>
      </c>
      <c r="AF703" s="167">
        <f t="shared" si="824"/>
        <v>18000</v>
      </c>
      <c r="AG703" s="67"/>
    </row>
    <row r="704" spans="1:33">
      <c r="A704" s="134"/>
      <c r="B704" s="153">
        <v>6</v>
      </c>
      <c r="C704" s="121" t="s">
        <v>987</v>
      </c>
      <c r="D704" s="121" t="s">
        <v>1299</v>
      </c>
      <c r="E704" s="209"/>
      <c r="F704" s="164">
        <v>3</v>
      </c>
      <c r="G704" s="164">
        <f>$D$20</f>
        <v>156</v>
      </c>
      <c r="H704" s="164">
        <f t="shared" si="829"/>
        <v>468</v>
      </c>
      <c r="I704" s="164">
        <f t="shared" ref="I704:K704" si="832">$H704*I$697</f>
        <v>163800</v>
      </c>
      <c r="J704" s="164">
        <f t="shared" si="832"/>
        <v>163800</v>
      </c>
      <c r="K704" s="164">
        <f t="shared" si="832"/>
        <v>140400</v>
      </c>
      <c r="L704" s="111"/>
      <c r="M704" s="111"/>
      <c r="N704" s="111"/>
      <c r="O704" s="111"/>
      <c r="P704" s="111"/>
      <c r="Q704" s="111"/>
      <c r="R704" s="111"/>
      <c r="S704" s="712"/>
      <c r="T704" s="169" t="s">
        <v>946</v>
      </c>
      <c r="U704" s="169" t="s">
        <v>946</v>
      </c>
      <c r="V704" s="121" t="s">
        <v>989</v>
      </c>
      <c r="W704" s="121" t="s">
        <v>789</v>
      </c>
      <c r="X704" s="170">
        <f t="shared" si="831"/>
        <v>156</v>
      </c>
      <c r="Y704" s="200">
        <f t="shared" si="817"/>
        <v>1050</v>
      </c>
      <c r="Z704" s="167">
        <f t="shared" si="818"/>
        <v>163800</v>
      </c>
      <c r="AA704" s="164">
        <f t="shared" si="819"/>
        <v>156</v>
      </c>
      <c r="AB704" s="200">
        <f t="shared" si="820"/>
        <v>1050</v>
      </c>
      <c r="AC704" s="167">
        <f t="shared" si="821"/>
        <v>163800</v>
      </c>
      <c r="AD704" s="164">
        <f t="shared" si="822"/>
        <v>156</v>
      </c>
      <c r="AE704" s="200">
        <f t="shared" si="823"/>
        <v>900</v>
      </c>
      <c r="AF704" s="167">
        <f t="shared" si="824"/>
        <v>140400</v>
      </c>
      <c r="AG704" s="67"/>
    </row>
    <row r="705" spans="1:33">
      <c r="A705" s="134"/>
      <c r="B705" s="153">
        <v>7</v>
      </c>
      <c r="C705" s="121" t="s">
        <v>985</v>
      </c>
      <c r="D705" s="121" t="s">
        <v>1058</v>
      </c>
      <c r="E705" s="209"/>
      <c r="F705" s="164">
        <v>1</v>
      </c>
      <c r="G705" s="164">
        <f>$D$32</f>
        <v>60</v>
      </c>
      <c r="H705" s="164">
        <f t="shared" si="829"/>
        <v>60</v>
      </c>
      <c r="I705" s="164">
        <f t="shared" ref="I705:K705" si="833">$H705*I$697</f>
        <v>21000</v>
      </c>
      <c r="J705" s="164">
        <f t="shared" si="833"/>
        <v>21000</v>
      </c>
      <c r="K705" s="164">
        <f t="shared" si="833"/>
        <v>18000</v>
      </c>
      <c r="L705" s="111"/>
      <c r="M705" s="111"/>
      <c r="N705" s="111"/>
      <c r="O705" s="111"/>
      <c r="P705" s="111"/>
      <c r="Q705" s="111"/>
      <c r="R705" s="111"/>
      <c r="S705" s="712"/>
      <c r="T705" s="169" t="s">
        <v>946</v>
      </c>
      <c r="U705" s="169" t="s">
        <v>946</v>
      </c>
      <c r="V705" s="121" t="s">
        <v>957</v>
      </c>
      <c r="W705" s="121" t="s">
        <v>789</v>
      </c>
      <c r="X705" s="170">
        <f t="shared" si="831"/>
        <v>60</v>
      </c>
      <c r="Y705" s="200">
        <f t="shared" si="817"/>
        <v>350</v>
      </c>
      <c r="Z705" s="167">
        <f t="shared" si="818"/>
        <v>21000</v>
      </c>
      <c r="AA705" s="164">
        <f t="shared" si="819"/>
        <v>60</v>
      </c>
      <c r="AB705" s="200">
        <f t="shared" si="820"/>
        <v>350</v>
      </c>
      <c r="AC705" s="167">
        <f t="shared" si="821"/>
        <v>21000</v>
      </c>
      <c r="AD705" s="164">
        <f t="shared" si="822"/>
        <v>60</v>
      </c>
      <c r="AE705" s="200">
        <f t="shared" si="823"/>
        <v>300</v>
      </c>
      <c r="AF705" s="167">
        <f t="shared" si="824"/>
        <v>18000</v>
      </c>
      <c r="AG705" s="67"/>
    </row>
    <row r="706" spans="1:33">
      <c r="A706" s="134"/>
      <c r="B706" s="153">
        <v>8</v>
      </c>
      <c r="C706" s="121" t="s">
        <v>1001</v>
      </c>
      <c r="D706" s="121"/>
      <c r="E706" s="209"/>
      <c r="F706" s="121"/>
      <c r="G706" s="185">
        <f>$C$13</f>
        <v>0.1</v>
      </c>
      <c r="H706" s="164">
        <f>SUM(H699:H705)*G706</f>
        <v>236.4484650926189</v>
      </c>
      <c r="I706" s="164">
        <f t="shared" ref="I706:K706" si="834">$H706*I$697</f>
        <v>82756.962782416609</v>
      </c>
      <c r="J706" s="164">
        <f t="shared" si="834"/>
        <v>82756.962782416609</v>
      </c>
      <c r="K706" s="164">
        <f t="shared" si="834"/>
        <v>70934.539527785673</v>
      </c>
      <c r="L706" s="111"/>
      <c r="M706" s="111"/>
      <c r="N706" s="111"/>
      <c r="O706" s="111"/>
      <c r="P706" s="111"/>
      <c r="Q706" s="111"/>
      <c r="R706" s="111"/>
      <c r="S706" s="712"/>
      <c r="T706" s="169" t="s">
        <v>946</v>
      </c>
      <c r="U706" s="169" t="s">
        <v>946</v>
      </c>
      <c r="V706" s="121" t="s">
        <v>875</v>
      </c>
      <c r="W706" s="121" t="s">
        <v>961</v>
      </c>
      <c r="X706" s="170">
        <f>'Assumptions HR_AUN'!$D$4*3</f>
        <v>88211.039066799218</v>
      </c>
      <c r="Y706" s="200">
        <f t="shared" si="817"/>
        <v>0.93817013899754176</v>
      </c>
      <c r="Z706" s="167">
        <f t="shared" si="818"/>
        <v>82756.962782416609</v>
      </c>
      <c r="AA706" s="164">
        <f t="shared" si="819"/>
        <v>88211.039066799218</v>
      </c>
      <c r="AB706" s="200">
        <f t="shared" si="820"/>
        <v>0.93817013899754176</v>
      </c>
      <c r="AC706" s="167">
        <f t="shared" si="821"/>
        <v>82756.962782416609</v>
      </c>
      <c r="AD706" s="164">
        <f t="shared" si="822"/>
        <v>88211.039066799218</v>
      </c>
      <c r="AE706" s="200">
        <f t="shared" si="823"/>
        <v>0.80414583342646451</v>
      </c>
      <c r="AF706" s="167">
        <f t="shared" si="824"/>
        <v>70934.539527785673</v>
      </c>
      <c r="AG706" s="67"/>
    </row>
    <row r="707" spans="1:33">
      <c r="A707" s="134"/>
      <c r="B707" s="153">
        <v>9</v>
      </c>
      <c r="C707" s="121" t="s">
        <v>962</v>
      </c>
      <c r="D707" s="121"/>
      <c r="E707" s="209"/>
      <c r="F707" s="121"/>
      <c r="G707" s="185">
        <f>$C$14</f>
        <v>0.15</v>
      </c>
      <c r="H707" s="164">
        <f>SUM(H699:H705)*G707</f>
        <v>354.6726976389283</v>
      </c>
      <c r="I707" s="164">
        <f t="shared" ref="I707:K707" si="835">$H707*I$697</f>
        <v>124135.4441736249</v>
      </c>
      <c r="J707" s="164">
        <f t="shared" si="835"/>
        <v>124135.4441736249</v>
      </c>
      <c r="K707" s="164">
        <f t="shared" si="835"/>
        <v>106401.8092916785</v>
      </c>
      <c r="L707" s="111"/>
      <c r="M707" s="111"/>
      <c r="N707" s="111"/>
      <c r="O707" s="111"/>
      <c r="P707" s="111"/>
      <c r="Q707" s="111"/>
      <c r="R707" s="111"/>
      <c r="S707" s="712"/>
      <c r="T707" s="169" t="s">
        <v>946</v>
      </c>
      <c r="U707" s="169" t="s">
        <v>946</v>
      </c>
      <c r="V707" s="121" t="s">
        <v>881</v>
      </c>
      <c r="W707" s="121" t="s">
        <v>964</v>
      </c>
      <c r="X707" s="170">
        <f>I707/4</f>
        <v>31033.861043406225</v>
      </c>
      <c r="Y707" s="200">
        <f t="shared" si="817"/>
        <v>4</v>
      </c>
      <c r="Z707" s="167">
        <f t="shared" si="818"/>
        <v>124135.4441736249</v>
      </c>
      <c r="AA707" s="164">
        <f t="shared" si="819"/>
        <v>31033.861043406225</v>
      </c>
      <c r="AB707" s="200">
        <f t="shared" si="820"/>
        <v>4</v>
      </c>
      <c r="AC707" s="167">
        <f t="shared" si="821"/>
        <v>124135.4441736249</v>
      </c>
      <c r="AD707" s="164">
        <f t="shared" si="822"/>
        <v>31033.861043406225</v>
      </c>
      <c r="AE707" s="200">
        <f t="shared" si="823"/>
        <v>3.4285714285714288</v>
      </c>
      <c r="AF707" s="167">
        <f t="shared" si="824"/>
        <v>106401.8092916785</v>
      </c>
      <c r="AG707" s="67"/>
    </row>
    <row r="708" spans="1:33">
      <c r="A708" s="134"/>
      <c r="B708" s="212" t="s">
        <v>770</v>
      </c>
      <c r="C708" s="212"/>
      <c r="D708" s="212"/>
      <c r="E708" s="212"/>
      <c r="F708" s="212"/>
      <c r="G708" s="178"/>
      <c r="H708" s="178">
        <f t="shared" ref="H708:K708" si="836">SUM(H699:H707)</f>
        <v>2955.6058136577358</v>
      </c>
      <c r="I708" s="178">
        <f t="shared" si="836"/>
        <v>1034462.0347802076</v>
      </c>
      <c r="J708" s="178">
        <f t="shared" si="836"/>
        <v>1034462.0347802076</v>
      </c>
      <c r="K708" s="178">
        <f t="shared" si="836"/>
        <v>886681.74409732083</v>
      </c>
      <c r="L708" s="111"/>
      <c r="M708" s="111"/>
      <c r="N708" s="111"/>
      <c r="O708" s="111"/>
      <c r="P708" s="111"/>
      <c r="Q708" s="111"/>
      <c r="R708" s="111"/>
      <c r="S708" s="712"/>
      <c r="T708" s="111"/>
      <c r="U708" s="111"/>
      <c r="V708" s="111"/>
      <c r="W708" s="111"/>
      <c r="X708" s="132"/>
      <c r="Y708" s="133"/>
      <c r="Z708" s="132"/>
      <c r="AA708" s="132"/>
      <c r="AB708" s="133"/>
      <c r="AC708" s="132"/>
      <c r="AD708" s="132"/>
      <c r="AE708" s="133"/>
      <c r="AF708" s="132"/>
      <c r="AG708" s="67"/>
    </row>
    <row r="709" spans="1:33">
      <c r="A709" s="9"/>
      <c r="B709" s="111"/>
      <c r="C709" s="111"/>
      <c r="D709" s="111"/>
      <c r="E709" s="111"/>
      <c r="F709" s="111"/>
      <c r="G709" s="111"/>
      <c r="H709" s="151"/>
      <c r="I709" s="151"/>
      <c r="J709" s="151"/>
      <c r="K709" s="151"/>
      <c r="L709" s="111"/>
      <c r="M709" s="111"/>
      <c r="N709" s="111"/>
      <c r="O709" s="111"/>
      <c r="P709" s="111"/>
      <c r="Q709" s="111"/>
      <c r="R709" s="111"/>
      <c r="S709" s="712"/>
      <c r="T709" s="111"/>
      <c r="U709" s="111"/>
      <c r="V709" s="111"/>
      <c r="W709" s="111"/>
      <c r="X709" s="132"/>
      <c r="Y709" s="111"/>
      <c r="Z709" s="111"/>
      <c r="AA709" s="111"/>
      <c r="AB709" s="111"/>
      <c r="AC709" s="111"/>
      <c r="AD709" s="111"/>
      <c r="AE709" s="111"/>
      <c r="AF709" s="111"/>
      <c r="AG709" s="67"/>
    </row>
    <row r="710" spans="1:33">
      <c r="A710" s="9"/>
      <c r="B710" s="235" t="s">
        <v>1300</v>
      </c>
      <c r="C710" s="235"/>
      <c r="D710" s="235"/>
      <c r="E710" s="235"/>
      <c r="F710" s="235"/>
      <c r="G710" s="235"/>
      <c r="H710" s="236">
        <v>300</v>
      </c>
      <c r="I710" s="151"/>
      <c r="J710" s="151"/>
      <c r="K710" s="151"/>
      <c r="L710" s="111"/>
      <c r="M710" s="111"/>
      <c r="N710" s="111"/>
      <c r="O710" s="111"/>
      <c r="P710" s="111"/>
      <c r="Q710" s="111"/>
      <c r="R710" s="111"/>
      <c r="S710" s="712"/>
      <c r="T710" s="111"/>
      <c r="U710" s="111"/>
      <c r="V710" s="111"/>
      <c r="W710" s="111"/>
      <c r="X710" s="132"/>
      <c r="Y710" s="111"/>
      <c r="Z710" s="111"/>
      <c r="AA710" s="111"/>
      <c r="AB710" s="111"/>
      <c r="AC710" s="111"/>
      <c r="AD710" s="111"/>
      <c r="AE710" s="111"/>
      <c r="AF710" s="111"/>
      <c r="AG710" s="67"/>
    </row>
    <row r="711" spans="1:33">
      <c r="A711" s="9"/>
      <c r="B711" s="227"/>
      <c r="C711" s="227" t="s">
        <v>1301</v>
      </c>
      <c r="D711" s="227" t="s">
        <v>1302</v>
      </c>
      <c r="E711" s="230" t="s">
        <v>969</v>
      </c>
      <c r="F711" s="230" t="s">
        <v>970</v>
      </c>
      <c r="G711" s="230" t="s">
        <v>971</v>
      </c>
      <c r="H711" s="230" t="s">
        <v>974</v>
      </c>
      <c r="I711" s="151"/>
      <c r="J711" s="151"/>
      <c r="K711" s="151"/>
      <c r="L711" s="111"/>
      <c r="M711" s="111"/>
      <c r="N711" s="111"/>
      <c r="O711" s="111"/>
      <c r="P711" s="111"/>
      <c r="Q711" s="111"/>
      <c r="R711" s="111"/>
      <c r="S711" s="712"/>
      <c r="T711" s="111"/>
      <c r="U711" s="111"/>
      <c r="V711" s="111"/>
      <c r="W711" s="111"/>
      <c r="X711" s="132"/>
      <c r="Y711" s="111"/>
      <c r="Z711" s="111"/>
      <c r="AA711" s="111"/>
      <c r="AB711" s="111"/>
      <c r="AC711" s="111"/>
      <c r="AD711" s="111"/>
      <c r="AE711" s="111"/>
      <c r="AF711" s="111"/>
      <c r="AG711" s="67"/>
    </row>
    <row r="712" spans="1:33">
      <c r="A712" s="9"/>
      <c r="B712" s="227"/>
      <c r="C712" s="227" t="s">
        <v>992</v>
      </c>
      <c r="D712" s="227" t="s">
        <v>1303</v>
      </c>
      <c r="E712" s="231">
        <v>1</v>
      </c>
      <c r="F712" s="231">
        <v>520</v>
      </c>
      <c r="G712" s="227">
        <v>520</v>
      </c>
      <c r="H712" s="237"/>
      <c r="I712" s="151"/>
      <c r="J712" s="151"/>
      <c r="K712" s="151"/>
      <c r="L712" s="111"/>
      <c r="M712" s="111"/>
      <c r="N712" s="111"/>
      <c r="O712" s="111"/>
      <c r="P712" s="111"/>
      <c r="Q712" s="111"/>
      <c r="R712" s="111"/>
      <c r="S712" s="712"/>
      <c r="T712" s="111"/>
      <c r="U712" s="111"/>
      <c r="V712" s="111"/>
      <c r="W712" s="111"/>
      <c r="X712" s="132"/>
      <c r="Y712" s="111"/>
      <c r="Z712" s="111"/>
      <c r="AA712" s="111"/>
      <c r="AB712" s="111"/>
      <c r="AC712" s="111"/>
      <c r="AD712" s="111"/>
      <c r="AE712" s="111"/>
      <c r="AF712" s="111"/>
      <c r="AG712" s="67"/>
    </row>
    <row r="713" spans="1:33">
      <c r="A713" s="9"/>
      <c r="B713" s="227"/>
      <c r="C713" s="227" t="s">
        <v>992</v>
      </c>
      <c r="D713" s="227" t="s">
        <v>1295</v>
      </c>
      <c r="E713" s="231">
        <v>0.25</v>
      </c>
      <c r="F713" s="231">
        <f>$D$23</f>
        <v>1025</v>
      </c>
      <c r="G713" s="227">
        <v>256</v>
      </c>
      <c r="H713" s="237"/>
      <c r="I713" s="151"/>
      <c r="J713" s="151"/>
      <c r="K713" s="151"/>
      <c r="L713" s="111"/>
      <c r="M713" s="111"/>
      <c r="N713" s="111"/>
      <c r="O713" s="111"/>
      <c r="P713" s="111"/>
      <c r="Q713" s="111"/>
      <c r="R713" s="111"/>
      <c r="S713" s="712"/>
      <c r="T713" s="111"/>
      <c r="U713" s="111"/>
      <c r="V713" s="111"/>
      <c r="W713" s="111"/>
      <c r="X713" s="132"/>
      <c r="Y713" s="111"/>
      <c r="Z713" s="111"/>
      <c r="AA713" s="111"/>
      <c r="AB713" s="111"/>
      <c r="AC713" s="111"/>
      <c r="AD713" s="111"/>
      <c r="AE713" s="111"/>
      <c r="AF713" s="111"/>
      <c r="AG713" s="67"/>
    </row>
    <row r="714" spans="1:33">
      <c r="A714" s="9"/>
      <c r="B714" s="227"/>
      <c r="C714" s="227" t="s">
        <v>978</v>
      </c>
      <c r="D714" s="227" t="s">
        <v>1296</v>
      </c>
      <c r="E714" s="231">
        <v>8</v>
      </c>
      <c r="F714" s="231">
        <f>'Assumptions HR_AUN'!$F$8</f>
        <v>80.053187003968247</v>
      </c>
      <c r="G714" s="227">
        <v>320</v>
      </c>
      <c r="H714" s="237"/>
      <c r="I714" s="151"/>
      <c r="J714" s="151"/>
      <c r="K714" s="151"/>
      <c r="L714" s="111"/>
      <c r="M714" s="111"/>
      <c r="N714" s="111"/>
      <c r="O714" s="111"/>
      <c r="P714" s="111"/>
      <c r="Q714" s="111"/>
      <c r="R714" s="111"/>
      <c r="S714" s="712"/>
      <c r="T714" s="111"/>
      <c r="U714" s="111"/>
      <c r="V714" s="111"/>
      <c r="W714" s="111"/>
      <c r="X714" s="132"/>
      <c r="Y714" s="111"/>
      <c r="Z714" s="111"/>
      <c r="AA714" s="111"/>
      <c r="AB714" s="111"/>
      <c r="AC714" s="111"/>
      <c r="AD714" s="111"/>
      <c r="AE714" s="111"/>
      <c r="AF714" s="111"/>
      <c r="AG714" s="67"/>
    </row>
    <row r="715" spans="1:33">
      <c r="A715" s="9"/>
      <c r="B715" s="227"/>
      <c r="C715" s="227" t="s">
        <v>978</v>
      </c>
      <c r="D715" s="227" t="s">
        <v>1297</v>
      </c>
      <c r="E715" s="231">
        <v>2</v>
      </c>
      <c r="F715" s="231">
        <f>'Assumptions HR_AUN'!$F$4</f>
        <v>175.0219029103159</v>
      </c>
      <c r="G715" s="227">
        <v>175</v>
      </c>
      <c r="H715" s="237"/>
      <c r="I715" s="151"/>
      <c r="J715" s="151"/>
      <c r="K715" s="151"/>
      <c r="L715" s="111"/>
      <c r="M715" s="111"/>
      <c r="N715" s="111"/>
      <c r="O715" s="111"/>
      <c r="P715" s="111"/>
      <c r="Q715" s="111"/>
      <c r="R715" s="111"/>
      <c r="S715" s="712"/>
      <c r="T715" s="111"/>
      <c r="U715" s="111"/>
      <c r="V715" s="111"/>
      <c r="W715" s="111"/>
      <c r="X715" s="132"/>
      <c r="Y715" s="111"/>
      <c r="Z715" s="111"/>
      <c r="AA715" s="111"/>
      <c r="AB715" s="111"/>
      <c r="AC715" s="111"/>
      <c r="AD715" s="111"/>
      <c r="AE715" s="111"/>
      <c r="AF715" s="111"/>
      <c r="AG715" s="67"/>
    </row>
    <row r="716" spans="1:33">
      <c r="A716" s="9"/>
      <c r="B716" s="227"/>
      <c r="C716" s="227" t="s">
        <v>997</v>
      </c>
      <c r="D716" s="227" t="s">
        <v>1298</v>
      </c>
      <c r="E716" s="231">
        <v>1</v>
      </c>
      <c r="F716" s="231">
        <f>$D$32</f>
        <v>60</v>
      </c>
      <c r="G716" s="227">
        <v>60</v>
      </c>
      <c r="H716" s="237"/>
      <c r="I716" s="151"/>
      <c r="J716" s="151"/>
      <c r="K716" s="151"/>
      <c r="L716" s="111"/>
      <c r="M716" s="111"/>
      <c r="N716" s="111"/>
      <c r="O716" s="111"/>
      <c r="P716" s="111"/>
      <c r="Q716" s="111"/>
      <c r="R716" s="111"/>
      <c r="S716" s="712"/>
      <c r="T716" s="111"/>
      <c r="U716" s="111"/>
      <c r="V716" s="111"/>
      <c r="W716" s="111"/>
      <c r="X716" s="132"/>
      <c r="Y716" s="111"/>
      <c r="Z716" s="111"/>
      <c r="AA716" s="111"/>
      <c r="AB716" s="111"/>
      <c r="AC716" s="111"/>
      <c r="AD716" s="111"/>
      <c r="AE716" s="111"/>
      <c r="AF716" s="111"/>
      <c r="AG716" s="67"/>
    </row>
    <row r="717" spans="1:33">
      <c r="A717" s="9"/>
      <c r="B717" s="227"/>
      <c r="C717" s="227" t="s">
        <v>987</v>
      </c>
      <c r="D717" s="227" t="s">
        <v>1299</v>
      </c>
      <c r="E717" s="231">
        <v>3</v>
      </c>
      <c r="F717" s="231">
        <f>$D$20</f>
        <v>156</v>
      </c>
      <c r="G717" s="227">
        <v>486</v>
      </c>
      <c r="H717" s="237"/>
      <c r="I717" s="151"/>
      <c r="J717" s="151"/>
      <c r="K717" s="151"/>
      <c r="L717" s="111"/>
      <c r="M717" s="111"/>
      <c r="N717" s="111"/>
      <c r="O717" s="111"/>
      <c r="P717" s="111"/>
      <c r="Q717" s="111"/>
      <c r="R717" s="111"/>
      <c r="S717" s="712"/>
      <c r="T717" s="111"/>
      <c r="U717" s="111"/>
      <c r="V717" s="111"/>
      <c r="W717" s="111"/>
      <c r="X717" s="132"/>
      <c r="Y717" s="111"/>
      <c r="Z717" s="111"/>
      <c r="AA717" s="111"/>
      <c r="AB717" s="111"/>
      <c r="AC717" s="111"/>
      <c r="AD717" s="111"/>
      <c r="AE717" s="111"/>
      <c r="AF717" s="111"/>
      <c r="AG717" s="67"/>
    </row>
    <row r="718" spans="1:33">
      <c r="A718" s="9"/>
      <c r="B718" s="227"/>
      <c r="C718" s="227" t="s">
        <v>985</v>
      </c>
      <c r="D718" s="227" t="s">
        <v>1058</v>
      </c>
      <c r="E718" s="231">
        <v>1</v>
      </c>
      <c r="F718" s="231">
        <f>$D$32</f>
        <v>60</v>
      </c>
      <c r="G718" s="227">
        <v>60</v>
      </c>
      <c r="H718" s="237"/>
      <c r="I718" s="151"/>
      <c r="J718" s="151"/>
      <c r="K718" s="151"/>
      <c r="L718" s="111"/>
      <c r="M718" s="111"/>
      <c r="N718" s="111"/>
      <c r="O718" s="111"/>
      <c r="P718" s="111"/>
      <c r="Q718" s="111"/>
      <c r="R718" s="111"/>
      <c r="S718" s="712"/>
      <c r="T718" s="111"/>
      <c r="U718" s="111"/>
      <c r="V718" s="111"/>
      <c r="W718" s="111"/>
      <c r="X718" s="132"/>
      <c r="Y718" s="111"/>
      <c r="Z718" s="111"/>
      <c r="AA718" s="111"/>
      <c r="AB718" s="111"/>
      <c r="AC718" s="111"/>
      <c r="AD718" s="111"/>
      <c r="AE718" s="111"/>
      <c r="AF718" s="111"/>
      <c r="AG718" s="67"/>
    </row>
    <row r="719" spans="1:33">
      <c r="A719" s="9"/>
      <c r="B719" s="227"/>
      <c r="C719" s="227" t="s">
        <v>1001</v>
      </c>
      <c r="D719" s="227"/>
      <c r="E719" s="227"/>
      <c r="F719" s="238">
        <f>$C$13</f>
        <v>0.1</v>
      </c>
      <c r="G719" s="227">
        <v>236</v>
      </c>
      <c r="H719" s="237"/>
      <c r="I719" s="151"/>
      <c r="J719" s="151"/>
      <c r="K719" s="151"/>
      <c r="L719" s="111"/>
      <c r="M719" s="111"/>
      <c r="N719" s="111"/>
      <c r="O719" s="111"/>
      <c r="P719" s="111"/>
      <c r="Q719" s="111"/>
      <c r="R719" s="111"/>
      <c r="S719" s="712"/>
      <c r="T719" s="111"/>
      <c r="U719" s="111"/>
      <c r="V719" s="111"/>
      <c r="W719" s="111"/>
      <c r="X719" s="132"/>
      <c r="Y719" s="111"/>
      <c r="Z719" s="111"/>
      <c r="AA719" s="111"/>
      <c r="AB719" s="111"/>
      <c r="AC719" s="111"/>
      <c r="AD719" s="111"/>
      <c r="AE719" s="111"/>
      <c r="AF719" s="111"/>
      <c r="AG719" s="67"/>
    </row>
    <row r="720" spans="1:33">
      <c r="A720" s="9"/>
      <c r="B720" s="227"/>
      <c r="C720" s="227" t="s">
        <v>962</v>
      </c>
      <c r="D720" s="227"/>
      <c r="E720" s="227"/>
      <c r="F720" s="238">
        <f>$C$14</f>
        <v>0.15</v>
      </c>
      <c r="G720" s="227">
        <v>355</v>
      </c>
      <c r="H720" s="237"/>
      <c r="I720" s="151"/>
      <c r="J720" s="151"/>
      <c r="K720" s="151"/>
      <c r="L720" s="111"/>
      <c r="M720" s="111"/>
      <c r="N720" s="111"/>
      <c r="O720" s="111"/>
      <c r="P720" s="111"/>
      <c r="Q720" s="111"/>
      <c r="R720" s="111"/>
      <c r="S720" s="712"/>
      <c r="T720" s="111"/>
      <c r="U720" s="111"/>
      <c r="V720" s="111"/>
      <c r="W720" s="111"/>
      <c r="X720" s="132"/>
      <c r="Y720" s="111"/>
      <c r="Z720" s="111"/>
      <c r="AA720" s="111"/>
      <c r="AB720" s="111"/>
      <c r="AC720" s="111"/>
      <c r="AD720" s="111"/>
      <c r="AE720" s="111"/>
      <c r="AF720" s="111"/>
      <c r="AG720" s="67"/>
    </row>
    <row r="721" spans="1:33">
      <c r="A721" s="9"/>
      <c r="B721" s="227"/>
      <c r="C721" s="239" t="s">
        <v>1219</v>
      </c>
      <c r="D721" s="239"/>
      <c r="E721" s="239"/>
      <c r="F721" s="239"/>
      <c r="G721" s="239">
        <v>2451</v>
      </c>
      <c r="H721" s="240">
        <v>735300</v>
      </c>
      <c r="I721" s="151"/>
      <c r="J721" s="151"/>
      <c r="K721" s="151"/>
      <c r="L721" s="111"/>
      <c r="M721" s="111"/>
      <c r="N721" s="111"/>
      <c r="O721" s="111"/>
      <c r="P721" s="111"/>
      <c r="Q721" s="111"/>
      <c r="R721" s="111"/>
      <c r="S721" s="712"/>
      <c r="T721" s="111"/>
      <c r="U721" s="111"/>
      <c r="V721" s="111"/>
      <c r="W721" s="111"/>
      <c r="X721" s="132"/>
      <c r="Y721" s="111"/>
      <c r="Z721" s="111"/>
      <c r="AA721" s="111"/>
      <c r="AB721" s="111"/>
      <c r="AC721" s="111"/>
      <c r="AD721" s="111"/>
      <c r="AE721" s="111"/>
      <c r="AF721" s="111"/>
      <c r="AG721" s="67"/>
    </row>
    <row r="722" spans="1:33">
      <c r="A722" s="9"/>
      <c r="B722" s="121"/>
      <c r="C722" s="121"/>
      <c r="D722" s="121"/>
      <c r="E722" s="121"/>
      <c r="F722" s="121"/>
      <c r="G722" s="121"/>
      <c r="H722" s="241"/>
      <c r="I722" s="151"/>
      <c r="J722" s="151"/>
      <c r="K722" s="151"/>
      <c r="L722" s="111"/>
      <c r="M722" s="111"/>
      <c r="N722" s="111"/>
      <c r="O722" s="111"/>
      <c r="P722" s="111"/>
      <c r="Q722" s="111"/>
      <c r="R722" s="111"/>
      <c r="S722" s="712"/>
      <c r="T722" s="111"/>
      <c r="U722" s="111"/>
      <c r="V722" s="111"/>
      <c r="W722" s="111"/>
      <c r="X722" s="132"/>
      <c r="Y722" s="111"/>
      <c r="Z722" s="111"/>
      <c r="AA722" s="111"/>
      <c r="AB722" s="111"/>
      <c r="AC722" s="111"/>
      <c r="AD722" s="111"/>
      <c r="AE722" s="111"/>
      <c r="AF722" s="111"/>
      <c r="AG722" s="67"/>
    </row>
    <row r="723" spans="1:33">
      <c r="A723" s="9"/>
      <c r="B723" s="111"/>
      <c r="C723" s="111"/>
      <c r="D723" s="111"/>
      <c r="E723" s="111"/>
      <c r="F723" s="111"/>
      <c r="G723" s="111"/>
      <c r="H723" s="151"/>
      <c r="I723" s="151"/>
      <c r="J723" s="151"/>
      <c r="K723" s="151"/>
      <c r="L723" s="111"/>
      <c r="M723" s="111"/>
      <c r="N723" s="111"/>
      <c r="O723" s="111"/>
      <c r="P723" s="111"/>
      <c r="Q723" s="111"/>
      <c r="R723" s="111"/>
      <c r="S723" s="712"/>
      <c r="T723" s="111"/>
      <c r="U723" s="111"/>
      <c r="V723" s="111"/>
      <c r="W723" s="111"/>
      <c r="X723" s="132"/>
      <c r="Y723" s="111"/>
      <c r="Z723" s="111"/>
      <c r="AA723" s="111"/>
      <c r="AB723" s="111"/>
      <c r="AC723" s="111"/>
      <c r="AD723" s="111"/>
      <c r="AE723" s="111"/>
      <c r="AF723" s="111"/>
      <c r="AG723" s="67"/>
    </row>
    <row r="724" spans="1:33">
      <c r="A724" s="725">
        <v>41</v>
      </c>
      <c r="B724" s="726" t="e" vm="1">
        <f>'[2]AUN Budget'!$E$182</f>
        <v>#VALUE!</v>
      </c>
      <c r="C724" s="731"/>
      <c r="D724" s="731"/>
      <c r="E724" s="731"/>
      <c r="F724" s="731"/>
      <c r="G724" s="731"/>
      <c r="H724" s="731"/>
      <c r="I724" s="731"/>
      <c r="J724" s="731"/>
      <c r="K724" s="731"/>
      <c r="L724" s="718"/>
      <c r="M724" s="111"/>
      <c r="N724" s="111"/>
      <c r="O724" s="111"/>
      <c r="P724" s="111"/>
      <c r="Q724" s="111"/>
      <c r="R724" s="111"/>
      <c r="S724" s="712"/>
      <c r="T724" s="111"/>
      <c r="U724" s="111"/>
      <c r="V724" s="111"/>
      <c r="W724" s="132"/>
      <c r="X724" s="133"/>
      <c r="Y724" s="132"/>
      <c r="Z724" s="132"/>
      <c r="AA724" s="133"/>
      <c r="AB724" s="132"/>
      <c r="AC724" s="132"/>
      <c r="AD724" s="133"/>
      <c r="AE724" s="132"/>
      <c r="AF724" s="111"/>
      <c r="AG724" s="67"/>
    </row>
    <row r="725" spans="1:33">
      <c r="A725" s="134"/>
      <c r="B725" s="113" t="s">
        <v>755</v>
      </c>
      <c r="C725" s="113" t="s">
        <v>1304</v>
      </c>
      <c r="D725" s="113" t="s">
        <v>1305</v>
      </c>
      <c r="E725" s="113" t="s">
        <v>697</v>
      </c>
      <c r="F725" s="113" t="s">
        <v>1306</v>
      </c>
      <c r="G725" s="113" t="s">
        <v>1307</v>
      </c>
      <c r="H725" s="113" t="s">
        <v>1308</v>
      </c>
      <c r="I725" s="113" t="s">
        <v>1309</v>
      </c>
      <c r="J725" s="113" t="s">
        <v>972</v>
      </c>
      <c r="K725" s="113" t="s">
        <v>973</v>
      </c>
      <c r="L725" s="113" t="s">
        <v>974</v>
      </c>
      <c r="M725" s="111"/>
      <c r="N725" s="111"/>
      <c r="O725" s="111"/>
      <c r="P725" s="111"/>
      <c r="Q725" s="111"/>
      <c r="R725" s="111"/>
      <c r="S725" s="712"/>
      <c r="T725" s="111"/>
      <c r="U725" s="111"/>
      <c r="V725" s="111"/>
      <c r="W725" s="132"/>
      <c r="X725" s="133"/>
      <c r="Y725" s="132"/>
      <c r="Z725" s="132"/>
      <c r="AA725" s="133"/>
      <c r="AB725" s="132"/>
      <c r="AC725" s="132"/>
      <c r="AD725" s="133"/>
      <c r="AE725" s="132"/>
      <c r="AF725" s="111"/>
      <c r="AG725" s="67"/>
    </row>
    <row r="726" spans="1:33">
      <c r="A726" s="134"/>
      <c r="B726" s="153">
        <v>1</v>
      </c>
      <c r="C726" s="153" t="s">
        <v>1310</v>
      </c>
      <c r="D726" s="153" t="s">
        <v>1311</v>
      </c>
      <c r="E726" s="153" t="s">
        <v>1312</v>
      </c>
      <c r="F726" s="221">
        <v>4471</v>
      </c>
      <c r="G726" s="164">
        <v>50</v>
      </c>
      <c r="H726" s="164">
        <v>50</v>
      </c>
      <c r="I726" s="164">
        <v>0</v>
      </c>
      <c r="J726" s="164">
        <f t="shared" ref="J726:L726" si="837">$F726*G726</f>
        <v>223550</v>
      </c>
      <c r="K726" s="164">
        <f t="shared" si="837"/>
        <v>223550</v>
      </c>
      <c r="L726" s="164">
        <f t="shared" si="837"/>
        <v>0</v>
      </c>
      <c r="M726" s="111"/>
      <c r="N726" s="242"/>
      <c r="O726" s="111"/>
      <c r="P726" s="111"/>
      <c r="Q726" s="111"/>
      <c r="R726" s="111"/>
      <c r="S726" s="712"/>
      <c r="T726" s="111"/>
      <c r="U726" s="111"/>
      <c r="V726" s="111"/>
      <c r="W726" s="132"/>
      <c r="X726" s="133"/>
      <c r="Y726" s="132"/>
      <c r="Z726" s="132"/>
      <c r="AA726" s="133"/>
      <c r="AB726" s="132"/>
      <c r="AC726" s="132"/>
      <c r="AD726" s="133"/>
      <c r="AE726" s="132"/>
      <c r="AF726" s="111"/>
      <c r="AG726" s="67"/>
    </row>
    <row r="727" spans="1:33">
      <c r="A727" s="134"/>
      <c r="B727" s="153">
        <v>2</v>
      </c>
      <c r="C727" s="153" t="s">
        <v>1313</v>
      </c>
      <c r="D727" s="153" t="s">
        <v>1314</v>
      </c>
      <c r="E727" s="153" t="s">
        <v>1312</v>
      </c>
      <c r="F727" s="221">
        <v>248370</v>
      </c>
      <c r="G727" s="164">
        <v>1</v>
      </c>
      <c r="H727" s="164">
        <v>1</v>
      </c>
      <c r="I727" s="164">
        <v>1</v>
      </c>
      <c r="J727" s="164">
        <f t="shared" ref="J727:L727" si="838">$F727*G727</f>
        <v>248370</v>
      </c>
      <c r="K727" s="164">
        <f t="shared" si="838"/>
        <v>248370</v>
      </c>
      <c r="L727" s="164">
        <f t="shared" si="838"/>
        <v>248370</v>
      </c>
      <c r="M727" s="111"/>
      <c r="N727" s="242"/>
      <c r="O727" s="111"/>
      <c r="P727" s="111"/>
      <c r="Q727" s="111"/>
      <c r="R727" s="111"/>
      <c r="S727" s="712"/>
      <c r="T727" s="111"/>
      <c r="U727" s="111"/>
      <c r="V727" s="111"/>
      <c r="W727" s="132"/>
      <c r="X727" s="133"/>
      <c r="Y727" s="132"/>
      <c r="Z727" s="132"/>
      <c r="AA727" s="133"/>
      <c r="AB727" s="132"/>
      <c r="AC727" s="132"/>
      <c r="AD727" s="133"/>
      <c r="AE727" s="132"/>
      <c r="AF727" s="111"/>
      <c r="AG727" s="67"/>
    </row>
    <row r="728" spans="1:33">
      <c r="A728" s="134"/>
      <c r="B728" s="153">
        <v>3</v>
      </c>
      <c r="C728" s="153" t="s">
        <v>1315</v>
      </c>
      <c r="D728" s="153" t="s">
        <v>1316</v>
      </c>
      <c r="E728" s="153" t="s">
        <v>1312</v>
      </c>
      <c r="F728" s="221">
        <v>49674</v>
      </c>
      <c r="G728" s="164">
        <v>3</v>
      </c>
      <c r="H728" s="164">
        <v>3</v>
      </c>
      <c r="I728" s="164">
        <v>3</v>
      </c>
      <c r="J728" s="164">
        <f t="shared" ref="J728:L728" si="839">$F728*G728</f>
        <v>149022</v>
      </c>
      <c r="K728" s="164">
        <f t="shared" si="839"/>
        <v>149022</v>
      </c>
      <c r="L728" s="164">
        <f t="shared" si="839"/>
        <v>149022</v>
      </c>
      <c r="M728" s="111"/>
      <c r="N728" s="242"/>
      <c r="O728" s="111"/>
      <c r="P728" s="111"/>
      <c r="Q728" s="111"/>
      <c r="R728" s="111"/>
      <c r="S728" s="712"/>
      <c r="T728" s="111"/>
      <c r="U728" s="111"/>
      <c r="V728" s="111"/>
      <c r="W728" s="132"/>
      <c r="X728" s="133"/>
      <c r="Y728" s="132"/>
      <c r="Z728" s="132"/>
      <c r="AA728" s="133"/>
      <c r="AB728" s="132"/>
      <c r="AC728" s="132"/>
      <c r="AD728" s="133"/>
      <c r="AE728" s="132"/>
      <c r="AF728" s="111"/>
      <c r="AG728" s="67"/>
    </row>
    <row r="729" spans="1:33">
      <c r="A729" s="134"/>
      <c r="B729" s="153">
        <v>4</v>
      </c>
      <c r="C729" s="153" t="s">
        <v>1317</v>
      </c>
      <c r="D729" s="153" t="s">
        <v>1318</v>
      </c>
      <c r="E729" s="153" t="s">
        <v>1319</v>
      </c>
      <c r="F729" s="221">
        <v>10</v>
      </c>
      <c r="G729" s="164">
        <v>23000</v>
      </c>
      <c r="H729" s="164">
        <v>23000</v>
      </c>
      <c r="I729" s="164">
        <v>23000</v>
      </c>
      <c r="J729" s="164">
        <f t="shared" ref="J729:L729" si="840">$F729*G729</f>
        <v>230000</v>
      </c>
      <c r="K729" s="164">
        <f t="shared" si="840"/>
        <v>230000</v>
      </c>
      <c r="L729" s="164">
        <f t="shared" si="840"/>
        <v>230000</v>
      </c>
      <c r="M729" s="111"/>
      <c r="N729" s="242"/>
      <c r="O729" s="111"/>
      <c r="P729" s="111"/>
      <c r="Q729" s="111"/>
      <c r="R729" s="111"/>
      <c r="S729" s="712"/>
      <c r="T729" s="111"/>
      <c r="U729" s="111"/>
      <c r="V729" s="111"/>
      <c r="W729" s="132"/>
      <c r="X729" s="133"/>
      <c r="Y729" s="132"/>
      <c r="Z729" s="132"/>
      <c r="AA729" s="133"/>
      <c r="AB729" s="132"/>
      <c r="AC729" s="132"/>
      <c r="AD729" s="133"/>
      <c r="AE729" s="132"/>
      <c r="AF729" s="111"/>
      <c r="AG729" s="67"/>
    </row>
    <row r="730" spans="1:33">
      <c r="A730" s="134"/>
      <c r="B730" s="153">
        <v>5</v>
      </c>
      <c r="C730" s="153" t="s">
        <v>1320</v>
      </c>
      <c r="D730" s="153" t="s">
        <v>1321</v>
      </c>
      <c r="E730" s="153" t="s">
        <v>1312</v>
      </c>
      <c r="F730" s="221">
        <v>59609</v>
      </c>
      <c r="G730" s="164">
        <v>3</v>
      </c>
      <c r="H730" s="164">
        <v>3</v>
      </c>
      <c r="I730" s="164">
        <v>3</v>
      </c>
      <c r="J730" s="164">
        <f t="shared" ref="J730:L730" si="841">$F730*G730</f>
        <v>178827</v>
      </c>
      <c r="K730" s="164">
        <f t="shared" si="841"/>
        <v>178827</v>
      </c>
      <c r="L730" s="164">
        <f t="shared" si="841"/>
        <v>178827</v>
      </c>
      <c r="M730" s="111"/>
      <c r="N730" s="242"/>
      <c r="O730" s="111"/>
      <c r="P730" s="111"/>
      <c r="Q730" s="111"/>
      <c r="R730" s="111"/>
      <c r="S730" s="712"/>
      <c r="T730" s="111"/>
      <c r="U730" s="111"/>
      <c r="V730" s="111"/>
      <c r="W730" s="132"/>
      <c r="X730" s="133"/>
      <c r="Y730" s="132"/>
      <c r="Z730" s="132"/>
      <c r="AA730" s="133"/>
      <c r="AB730" s="132"/>
      <c r="AC730" s="132"/>
      <c r="AD730" s="133"/>
      <c r="AE730" s="132"/>
      <c r="AF730" s="111"/>
      <c r="AG730" s="67"/>
    </row>
    <row r="731" spans="1:33">
      <c r="A731" s="134"/>
      <c r="B731" s="153">
        <v>6</v>
      </c>
      <c r="C731" s="153" t="s">
        <v>1322</v>
      </c>
      <c r="D731" s="153" t="s">
        <v>1316</v>
      </c>
      <c r="E731" s="153" t="s">
        <v>1312</v>
      </c>
      <c r="F731" s="221">
        <v>3269</v>
      </c>
      <c r="G731" s="164">
        <v>3</v>
      </c>
      <c r="H731" s="164">
        <v>3</v>
      </c>
      <c r="I731" s="164">
        <v>3</v>
      </c>
      <c r="J731" s="164">
        <f t="shared" ref="J731:L731" si="842">$F731*G731</f>
        <v>9807</v>
      </c>
      <c r="K731" s="164">
        <f t="shared" si="842"/>
        <v>9807</v>
      </c>
      <c r="L731" s="164">
        <f t="shared" si="842"/>
        <v>9807</v>
      </c>
      <c r="M731" s="111"/>
      <c r="N731" s="242"/>
      <c r="O731" s="111"/>
      <c r="P731" s="111"/>
      <c r="Q731" s="111"/>
      <c r="R731" s="111"/>
      <c r="S731" s="712"/>
      <c r="T731" s="111"/>
      <c r="U731" s="111"/>
      <c r="V731" s="111"/>
      <c r="W731" s="132"/>
      <c r="X731" s="133"/>
      <c r="Y731" s="132"/>
      <c r="Z731" s="132"/>
      <c r="AA731" s="133"/>
      <c r="AB731" s="132"/>
      <c r="AC731" s="132"/>
      <c r="AD731" s="133"/>
      <c r="AE731" s="132"/>
      <c r="AF731" s="111"/>
      <c r="AG731" s="67"/>
    </row>
    <row r="732" spans="1:33">
      <c r="A732" s="134"/>
      <c r="B732" s="153">
        <v>7</v>
      </c>
      <c r="C732" s="153" t="s">
        <v>1323</v>
      </c>
      <c r="D732" s="153" t="s">
        <v>1324</v>
      </c>
      <c r="E732" s="153" t="s">
        <v>1312</v>
      </c>
      <c r="F732" s="221">
        <v>2853</v>
      </c>
      <c r="G732" s="164">
        <v>25</v>
      </c>
      <c r="H732" s="164">
        <v>25</v>
      </c>
      <c r="I732" s="164">
        <v>25</v>
      </c>
      <c r="J732" s="164">
        <f t="shared" ref="J732:L732" si="843">$F732*G732</f>
        <v>71325</v>
      </c>
      <c r="K732" s="164">
        <f t="shared" si="843"/>
        <v>71325</v>
      </c>
      <c r="L732" s="164">
        <f t="shared" si="843"/>
        <v>71325</v>
      </c>
      <c r="M732" s="111"/>
      <c r="N732" s="242"/>
      <c r="O732" s="111"/>
      <c r="P732" s="111"/>
      <c r="Q732" s="111"/>
      <c r="R732" s="111"/>
      <c r="S732" s="712"/>
      <c r="T732" s="111"/>
      <c r="U732" s="111"/>
      <c r="V732" s="111"/>
      <c r="W732" s="132"/>
      <c r="X732" s="133"/>
      <c r="Y732" s="132"/>
      <c r="Z732" s="132"/>
      <c r="AA732" s="133"/>
      <c r="AB732" s="132"/>
      <c r="AC732" s="132"/>
      <c r="AD732" s="133"/>
      <c r="AE732" s="132"/>
      <c r="AF732" s="111"/>
      <c r="AG732" s="67"/>
    </row>
    <row r="733" spans="1:33">
      <c r="A733" s="134"/>
      <c r="B733" s="153">
        <v>8</v>
      </c>
      <c r="C733" s="153" t="s">
        <v>1325</v>
      </c>
      <c r="D733" s="153" t="s">
        <v>1316</v>
      </c>
      <c r="E733" s="153" t="s">
        <v>1312</v>
      </c>
      <c r="F733" s="221">
        <v>1223</v>
      </c>
      <c r="G733" s="164">
        <v>300</v>
      </c>
      <c r="H733" s="164">
        <v>300</v>
      </c>
      <c r="I733" s="164">
        <v>300</v>
      </c>
      <c r="J733" s="164">
        <f t="shared" ref="J733:L733" si="844">$F733*G733</f>
        <v>366900</v>
      </c>
      <c r="K733" s="164">
        <f t="shared" si="844"/>
        <v>366900</v>
      </c>
      <c r="L733" s="164">
        <f t="shared" si="844"/>
        <v>366900</v>
      </c>
      <c r="M733" s="111"/>
      <c r="N733" s="242"/>
      <c r="O733" s="111"/>
      <c r="P733" s="111"/>
      <c r="Q733" s="111"/>
      <c r="R733" s="111"/>
      <c r="S733" s="712"/>
      <c r="T733" s="111"/>
      <c r="U733" s="111"/>
      <c r="V733" s="111"/>
      <c r="W733" s="132"/>
      <c r="X733" s="133"/>
      <c r="Y733" s="132"/>
      <c r="Z733" s="132"/>
      <c r="AA733" s="133"/>
      <c r="AB733" s="132"/>
      <c r="AC733" s="132"/>
      <c r="AD733" s="133"/>
      <c r="AE733" s="132"/>
      <c r="AF733" s="111"/>
      <c r="AG733" s="67"/>
    </row>
    <row r="734" spans="1:33">
      <c r="A734" s="134"/>
      <c r="B734" s="153">
        <v>9</v>
      </c>
      <c r="C734" s="153" t="s">
        <v>1326</v>
      </c>
      <c r="D734" s="153" t="s">
        <v>1316</v>
      </c>
      <c r="E734" s="153" t="s">
        <v>1312</v>
      </c>
      <c r="F734" s="221">
        <v>2384</v>
      </c>
      <c r="G734" s="164">
        <v>40</v>
      </c>
      <c r="H734" s="164">
        <v>40</v>
      </c>
      <c r="I734" s="164">
        <v>20</v>
      </c>
      <c r="J734" s="164">
        <f t="shared" ref="J734:L734" si="845">$F734*G734</f>
        <v>95360</v>
      </c>
      <c r="K734" s="164">
        <f t="shared" si="845"/>
        <v>95360</v>
      </c>
      <c r="L734" s="164">
        <f t="shared" si="845"/>
        <v>47680</v>
      </c>
      <c r="M734" s="111"/>
      <c r="N734" s="242"/>
      <c r="O734" s="111"/>
      <c r="P734" s="111"/>
      <c r="Q734" s="111"/>
      <c r="R734" s="111"/>
      <c r="S734" s="712"/>
      <c r="T734" s="111"/>
      <c r="U734" s="111"/>
      <c r="V734" s="111"/>
      <c r="W734" s="132"/>
      <c r="X734" s="133"/>
      <c r="Y734" s="132"/>
      <c r="Z734" s="132"/>
      <c r="AA734" s="210"/>
      <c r="AB734" s="132"/>
      <c r="AC734" s="132"/>
      <c r="AD734" s="133"/>
      <c r="AE734" s="132"/>
      <c r="AF734" s="111"/>
      <c r="AG734" s="67"/>
    </row>
    <row r="735" spans="1:33">
      <c r="A735" s="134"/>
      <c r="B735" s="153">
        <v>10</v>
      </c>
      <c r="C735" s="153" t="s">
        <v>1327</v>
      </c>
      <c r="D735" s="153" t="s">
        <v>1316</v>
      </c>
      <c r="E735" s="153" t="s">
        <v>1312</v>
      </c>
      <c r="F735" s="221">
        <v>120</v>
      </c>
      <c r="G735" s="164">
        <v>6000</v>
      </c>
      <c r="H735" s="164">
        <v>6000</v>
      </c>
      <c r="I735" s="164">
        <v>4000</v>
      </c>
      <c r="J735" s="164">
        <f t="shared" ref="J735:L735" si="846">$F735*G735</f>
        <v>720000</v>
      </c>
      <c r="K735" s="164">
        <f t="shared" si="846"/>
        <v>720000</v>
      </c>
      <c r="L735" s="164">
        <f t="shared" si="846"/>
        <v>480000</v>
      </c>
      <c r="M735" s="111"/>
      <c r="N735" s="242"/>
      <c r="O735" s="111"/>
      <c r="P735" s="111"/>
      <c r="Q735" s="111"/>
      <c r="R735" s="111"/>
      <c r="S735" s="712"/>
      <c r="T735" s="111"/>
      <c r="U735" s="111"/>
      <c r="V735" s="111"/>
      <c r="W735" s="132"/>
      <c r="X735" s="133"/>
      <c r="Y735" s="132"/>
      <c r="Z735" s="132"/>
      <c r="AA735" s="210"/>
      <c r="AB735" s="132"/>
      <c r="AC735" s="132"/>
      <c r="AD735" s="133"/>
      <c r="AE735" s="132"/>
      <c r="AF735" s="111"/>
      <c r="AG735" s="67"/>
    </row>
    <row r="736" spans="1:33">
      <c r="A736" s="134"/>
      <c r="B736" s="153">
        <v>11</v>
      </c>
      <c r="C736" s="153" t="s">
        <v>1328</v>
      </c>
      <c r="D736" s="153" t="s">
        <v>1329</v>
      </c>
      <c r="E736" s="153" t="s">
        <v>1312</v>
      </c>
      <c r="F736" s="221">
        <v>248370</v>
      </c>
      <c r="G736" s="164">
        <v>1</v>
      </c>
      <c r="H736" s="164">
        <v>0</v>
      </c>
      <c r="I736" s="164">
        <v>1</v>
      </c>
      <c r="J736" s="164">
        <f t="shared" ref="J736:L736" si="847">$F736*G736</f>
        <v>248370</v>
      </c>
      <c r="K736" s="164">
        <f t="shared" si="847"/>
        <v>0</v>
      </c>
      <c r="L736" s="164">
        <f t="shared" si="847"/>
        <v>248370</v>
      </c>
      <c r="M736" s="111"/>
      <c r="N736" s="242"/>
      <c r="O736" s="111"/>
      <c r="P736" s="111"/>
      <c r="Q736" s="111"/>
      <c r="R736" s="111"/>
      <c r="S736" s="712"/>
      <c r="T736" s="111"/>
      <c r="U736" s="111"/>
      <c r="V736" s="111"/>
      <c r="W736" s="132"/>
      <c r="X736" s="133"/>
      <c r="Y736" s="132"/>
      <c r="Z736" s="132"/>
      <c r="AA736" s="210"/>
      <c r="AB736" s="132"/>
      <c r="AC736" s="132"/>
      <c r="AD736" s="133"/>
      <c r="AE736" s="132"/>
      <c r="AF736" s="111"/>
      <c r="AG736" s="67"/>
    </row>
    <row r="737" spans="1:33">
      <c r="A737" s="134"/>
      <c r="B737" s="153">
        <v>12</v>
      </c>
      <c r="C737" s="153" t="s">
        <v>1330</v>
      </c>
      <c r="D737" s="153" t="s">
        <v>1329</v>
      </c>
      <c r="E737" s="153" t="s">
        <v>1312</v>
      </c>
      <c r="F737" s="221">
        <v>25831</v>
      </c>
      <c r="G737" s="164">
        <v>3</v>
      </c>
      <c r="H737" s="164">
        <v>3</v>
      </c>
      <c r="I737" s="164">
        <v>0</v>
      </c>
      <c r="J737" s="164">
        <f t="shared" ref="J737:L737" si="848">$F737*G737</f>
        <v>77493</v>
      </c>
      <c r="K737" s="164">
        <f t="shared" si="848"/>
        <v>77493</v>
      </c>
      <c r="L737" s="164">
        <f t="shared" si="848"/>
        <v>0</v>
      </c>
      <c r="M737" s="111"/>
      <c r="N737" s="242"/>
      <c r="O737" s="111"/>
      <c r="P737" s="111"/>
      <c r="Q737" s="111"/>
      <c r="R737" s="111"/>
      <c r="S737" s="712"/>
      <c r="T737" s="111"/>
      <c r="U737" s="111"/>
      <c r="V737" s="111"/>
      <c r="W737" s="132"/>
      <c r="X737" s="133"/>
      <c r="Y737" s="132"/>
      <c r="Z737" s="132"/>
      <c r="AA737" s="210"/>
      <c r="AB737" s="132"/>
      <c r="AC737" s="132"/>
      <c r="AD737" s="133"/>
      <c r="AE737" s="132"/>
      <c r="AF737" s="111"/>
      <c r="AG737" s="67"/>
    </row>
    <row r="738" spans="1:33">
      <c r="A738" s="134"/>
      <c r="B738" s="153">
        <v>13</v>
      </c>
      <c r="C738" s="153" t="s">
        <v>1331</v>
      </c>
      <c r="D738" s="153" t="s">
        <v>1332</v>
      </c>
      <c r="E738" s="153" t="s">
        <v>1312</v>
      </c>
      <c r="F738" s="221">
        <v>14902</v>
      </c>
      <c r="G738" s="164">
        <v>12</v>
      </c>
      <c r="H738" s="164">
        <v>12</v>
      </c>
      <c r="I738" s="164">
        <v>12</v>
      </c>
      <c r="J738" s="164">
        <f t="shared" ref="J738:L738" si="849">$F738*G738</f>
        <v>178824</v>
      </c>
      <c r="K738" s="164">
        <f t="shared" si="849"/>
        <v>178824</v>
      </c>
      <c r="L738" s="164">
        <f t="shared" si="849"/>
        <v>178824</v>
      </c>
      <c r="M738" s="111"/>
      <c r="N738" s="242"/>
      <c r="O738" s="111"/>
      <c r="P738" s="111"/>
      <c r="Q738" s="111"/>
      <c r="R738" s="111"/>
      <c r="S738" s="712"/>
      <c r="T738" s="111"/>
      <c r="U738" s="111"/>
      <c r="V738" s="111"/>
      <c r="W738" s="132"/>
      <c r="X738" s="133"/>
      <c r="Y738" s="132"/>
      <c r="Z738" s="132"/>
      <c r="AA738" s="210"/>
      <c r="AB738" s="132"/>
      <c r="AC738" s="132"/>
      <c r="AD738" s="133"/>
      <c r="AE738" s="132"/>
      <c r="AF738" s="111"/>
      <c r="AG738" s="67"/>
    </row>
    <row r="739" spans="1:33">
      <c r="A739" s="134"/>
      <c r="B739" s="153">
        <v>14</v>
      </c>
      <c r="C739" s="153" t="s">
        <v>1333</v>
      </c>
      <c r="D739" s="153" t="s">
        <v>1332</v>
      </c>
      <c r="E739" s="153" t="s">
        <v>1334</v>
      </c>
      <c r="F739" s="221">
        <v>2</v>
      </c>
      <c r="G739" s="164">
        <v>200000</v>
      </c>
      <c r="H739" s="164">
        <v>200000</v>
      </c>
      <c r="I739" s="164">
        <v>200000</v>
      </c>
      <c r="J739" s="164">
        <f t="shared" ref="J739:L739" si="850">$F739*G739</f>
        <v>400000</v>
      </c>
      <c r="K739" s="164">
        <f t="shared" si="850"/>
        <v>400000</v>
      </c>
      <c r="L739" s="164">
        <f t="shared" si="850"/>
        <v>400000</v>
      </c>
      <c r="M739" s="111"/>
      <c r="N739" s="242"/>
      <c r="O739" s="111"/>
      <c r="P739" s="111"/>
      <c r="Q739" s="111"/>
      <c r="R739" s="111"/>
      <c r="S739" s="712"/>
      <c r="T739" s="111"/>
      <c r="U739" s="111"/>
      <c r="V739" s="111"/>
      <c r="W739" s="132"/>
      <c r="X739" s="133"/>
      <c r="Y739" s="132"/>
      <c r="Z739" s="132"/>
      <c r="AA739" s="210"/>
      <c r="AB739" s="132"/>
      <c r="AC739" s="132"/>
      <c r="AD739" s="133"/>
      <c r="AE739" s="132"/>
      <c r="AF739" s="111"/>
      <c r="AG739" s="67"/>
    </row>
    <row r="740" spans="1:33">
      <c r="A740" s="134"/>
      <c r="B740" s="153">
        <v>15</v>
      </c>
      <c r="C740" s="153" t="s">
        <v>1335</v>
      </c>
      <c r="D740" s="153" t="s">
        <v>1332</v>
      </c>
      <c r="E740" s="153" t="s">
        <v>1312</v>
      </c>
      <c r="F740" s="221">
        <v>99348</v>
      </c>
      <c r="G740" s="164">
        <v>0</v>
      </c>
      <c r="H740" s="164">
        <v>0</v>
      </c>
      <c r="I740" s="164">
        <v>1</v>
      </c>
      <c r="J740" s="164">
        <f t="shared" ref="J740:L740" si="851">$F740*G740</f>
        <v>0</v>
      </c>
      <c r="K740" s="164">
        <f t="shared" si="851"/>
        <v>0</v>
      </c>
      <c r="L740" s="164">
        <f t="shared" si="851"/>
        <v>99348</v>
      </c>
      <c r="M740" s="111"/>
      <c r="N740" s="242"/>
      <c r="O740" s="111"/>
      <c r="P740" s="111"/>
      <c r="Q740" s="111"/>
      <c r="R740" s="111"/>
      <c r="S740" s="712"/>
      <c r="T740" s="111"/>
      <c r="U740" s="111"/>
      <c r="V740" s="111"/>
      <c r="W740" s="132"/>
      <c r="X740" s="133"/>
      <c r="Y740" s="132"/>
      <c r="Z740" s="132"/>
      <c r="AA740" s="210"/>
      <c r="AB740" s="132"/>
      <c r="AC740" s="132"/>
      <c r="AD740" s="133"/>
      <c r="AE740" s="132"/>
      <c r="AF740" s="111"/>
      <c r="AG740" s="67"/>
    </row>
    <row r="741" spans="1:33">
      <c r="A741" s="134"/>
      <c r="B741" s="153">
        <v>16</v>
      </c>
      <c r="C741" s="153" t="s">
        <v>1336</v>
      </c>
      <c r="D741" s="153" t="s">
        <v>1332</v>
      </c>
      <c r="E741" s="153" t="s">
        <v>1337</v>
      </c>
      <c r="F741" s="221">
        <v>1292</v>
      </c>
      <c r="G741" s="164">
        <v>12</v>
      </c>
      <c r="H741" s="164">
        <v>12</v>
      </c>
      <c r="I741" s="164">
        <v>12</v>
      </c>
      <c r="J741" s="164">
        <f t="shared" ref="J741:L741" si="852">$F741*G741</f>
        <v>15504</v>
      </c>
      <c r="K741" s="164">
        <f t="shared" si="852"/>
        <v>15504</v>
      </c>
      <c r="L741" s="164">
        <f t="shared" si="852"/>
        <v>15504</v>
      </c>
      <c r="M741" s="111"/>
      <c r="N741" s="242"/>
      <c r="O741" s="111"/>
      <c r="P741" s="111"/>
      <c r="Q741" s="111"/>
      <c r="R741" s="111"/>
      <c r="S741" s="712"/>
      <c r="T741" s="111"/>
      <c r="U741" s="111"/>
      <c r="V741" s="111"/>
      <c r="W741" s="132"/>
      <c r="X741" s="133"/>
      <c r="Y741" s="132"/>
      <c r="Z741" s="132"/>
      <c r="AA741" s="210"/>
      <c r="AB741" s="132"/>
      <c r="AC741" s="132"/>
      <c r="AD741" s="133"/>
      <c r="AE741" s="132"/>
      <c r="AF741" s="111"/>
      <c r="AG741" s="67"/>
    </row>
    <row r="742" spans="1:33">
      <c r="A742" s="134"/>
      <c r="B742" s="153">
        <v>17</v>
      </c>
      <c r="C742" s="153" t="s">
        <v>1338</v>
      </c>
      <c r="D742" s="153" t="s">
        <v>1339</v>
      </c>
      <c r="E742" s="153" t="s">
        <v>1312</v>
      </c>
      <c r="F742" s="221">
        <v>0</v>
      </c>
      <c r="G742" s="164">
        <v>0</v>
      </c>
      <c r="H742" s="164">
        <v>0</v>
      </c>
      <c r="I742" s="164">
        <v>0</v>
      </c>
      <c r="J742" s="164">
        <f t="shared" ref="J742:L742" si="853">$F742*G742</f>
        <v>0</v>
      </c>
      <c r="K742" s="164">
        <f t="shared" si="853"/>
        <v>0</v>
      </c>
      <c r="L742" s="164">
        <f t="shared" si="853"/>
        <v>0</v>
      </c>
      <c r="M742" s="111"/>
      <c r="N742" s="242"/>
      <c r="O742" s="111"/>
      <c r="P742" s="111"/>
      <c r="Q742" s="111"/>
      <c r="R742" s="111"/>
      <c r="S742" s="712"/>
      <c r="T742" s="111"/>
      <c r="U742" s="111"/>
      <c r="V742" s="111"/>
      <c r="W742" s="132"/>
      <c r="X742" s="133"/>
      <c r="Y742" s="132"/>
      <c r="Z742" s="132"/>
      <c r="AA742" s="210"/>
      <c r="AB742" s="132"/>
      <c r="AC742" s="132"/>
      <c r="AD742" s="133"/>
      <c r="AE742" s="132"/>
      <c r="AF742" s="111"/>
      <c r="AG742" s="67"/>
    </row>
    <row r="743" spans="1:33">
      <c r="A743" s="134"/>
      <c r="B743" s="153">
        <v>18</v>
      </c>
      <c r="C743" s="153" t="s">
        <v>1340</v>
      </c>
      <c r="D743" s="153" t="s">
        <v>1332</v>
      </c>
      <c r="E743" s="153" t="s">
        <v>1312</v>
      </c>
      <c r="F743" s="243">
        <f>'Assumptions TRC_AUN'!$E$33</f>
        <v>3334</v>
      </c>
      <c r="G743" s="164">
        <v>35</v>
      </c>
      <c r="H743" s="164">
        <v>0</v>
      </c>
      <c r="I743" s="164">
        <v>0</v>
      </c>
      <c r="J743" s="164">
        <f t="shared" ref="J743:L743" si="854">$F743*G743</f>
        <v>116690</v>
      </c>
      <c r="K743" s="164">
        <f t="shared" si="854"/>
        <v>0</v>
      </c>
      <c r="L743" s="164">
        <f t="shared" si="854"/>
        <v>0</v>
      </c>
      <c r="M743" s="132"/>
      <c r="N743" s="242"/>
      <c r="O743" s="111"/>
      <c r="P743" s="132"/>
      <c r="Q743" s="111"/>
      <c r="R743" s="111"/>
      <c r="S743" s="712"/>
      <c r="T743" s="111"/>
      <c r="U743" s="111"/>
      <c r="V743" s="111"/>
      <c r="W743" s="132"/>
      <c r="X743" s="133"/>
      <c r="Y743" s="132"/>
      <c r="Z743" s="132"/>
      <c r="AA743" s="132"/>
      <c r="AB743" s="132"/>
      <c r="AC743" s="132"/>
      <c r="AD743" s="133"/>
      <c r="AE743" s="132"/>
      <c r="AF743" s="111"/>
      <c r="AG743" s="67"/>
    </row>
    <row r="744" spans="1:33">
      <c r="A744" s="134"/>
      <c r="B744" s="153">
        <v>19</v>
      </c>
      <c r="C744" s="153" t="s">
        <v>1341</v>
      </c>
      <c r="D744" s="153" t="s">
        <v>1342</v>
      </c>
      <c r="E744" s="153" t="s">
        <v>1343</v>
      </c>
      <c r="F744" s="243">
        <f>'Assumptions TRC_AUN'!$E$33</f>
        <v>3334</v>
      </c>
      <c r="G744" s="164">
        <v>60</v>
      </c>
      <c r="H744" s="164">
        <v>60</v>
      </c>
      <c r="I744" s="164">
        <v>55</v>
      </c>
      <c r="J744" s="164">
        <f t="shared" ref="J744:L744" si="855">$F744*G744</f>
        <v>200040</v>
      </c>
      <c r="K744" s="164">
        <f t="shared" si="855"/>
        <v>200040</v>
      </c>
      <c r="L744" s="164">
        <f t="shared" si="855"/>
        <v>183370</v>
      </c>
      <c r="M744" s="132"/>
      <c r="N744" s="242"/>
      <c r="O744" s="111"/>
      <c r="P744" s="132"/>
      <c r="Q744" s="111"/>
      <c r="R744" s="111"/>
      <c r="S744" s="712"/>
      <c r="T744" s="111"/>
      <c r="U744" s="111"/>
      <c r="V744" s="111"/>
      <c r="W744" s="132"/>
      <c r="X744" s="133"/>
      <c r="Y744" s="132"/>
      <c r="Z744" s="132"/>
      <c r="AA744" s="132"/>
      <c r="AB744" s="132"/>
      <c r="AC744" s="132"/>
      <c r="AD744" s="133"/>
      <c r="AE744" s="132"/>
      <c r="AF744" s="111"/>
      <c r="AG744" s="67"/>
    </row>
    <row r="745" spans="1:33">
      <c r="A745" s="134"/>
      <c r="B745" s="153">
        <v>20</v>
      </c>
      <c r="C745" s="153" t="s">
        <v>1344</v>
      </c>
      <c r="D745" s="153" t="s">
        <v>1342</v>
      </c>
      <c r="E745" s="153" t="s">
        <v>1343</v>
      </c>
      <c r="F745" s="243">
        <f>'Assumptions TRC_AUN'!$E$33</f>
        <v>3334</v>
      </c>
      <c r="G745" s="164">
        <v>0</v>
      </c>
      <c r="H745" s="164">
        <v>20</v>
      </c>
      <c r="I745" s="164">
        <v>20</v>
      </c>
      <c r="J745" s="164">
        <f t="shared" ref="J745:L745" si="856">$F745*G745</f>
        <v>0</v>
      </c>
      <c r="K745" s="164">
        <f t="shared" si="856"/>
        <v>66680</v>
      </c>
      <c r="L745" s="164">
        <f t="shared" si="856"/>
        <v>66680</v>
      </c>
      <c r="M745" s="132"/>
      <c r="N745" s="242"/>
      <c r="O745" s="111"/>
      <c r="P745" s="132"/>
      <c r="Q745" s="111"/>
      <c r="R745" s="111"/>
      <c r="S745" s="712"/>
      <c r="T745" s="111"/>
      <c r="U745" s="111"/>
      <c r="V745" s="111"/>
      <c r="W745" s="132"/>
      <c r="X745" s="133"/>
      <c r="Y745" s="132"/>
      <c r="Z745" s="132"/>
      <c r="AA745" s="132"/>
      <c r="AB745" s="132"/>
      <c r="AC745" s="132"/>
      <c r="AD745" s="133"/>
      <c r="AE745" s="132"/>
      <c r="AF745" s="111"/>
      <c r="AG745" s="67"/>
    </row>
    <row r="746" spans="1:33">
      <c r="A746" s="134"/>
      <c r="B746" s="212"/>
      <c r="C746" s="212" t="s">
        <v>770</v>
      </c>
      <c r="D746" s="212"/>
      <c r="E746" s="212"/>
      <c r="F746" s="212"/>
      <c r="G746" s="178"/>
      <c r="H746" s="178"/>
      <c r="I746" s="178"/>
      <c r="J746" s="178">
        <f t="shared" ref="J746:L746" si="857">SUM(J726:J745)</f>
        <v>3530082</v>
      </c>
      <c r="K746" s="178">
        <f t="shared" si="857"/>
        <v>3231702</v>
      </c>
      <c r="L746" s="178">
        <f t="shared" si="857"/>
        <v>2974027</v>
      </c>
      <c r="M746" s="111"/>
      <c r="N746" s="111"/>
      <c r="O746" s="111"/>
      <c r="P746" s="111"/>
      <c r="Q746" s="111"/>
      <c r="R746" s="111"/>
      <c r="S746" s="712"/>
      <c r="T746" s="111"/>
      <c r="U746" s="111"/>
      <c r="V746" s="111"/>
      <c r="W746" s="132"/>
      <c r="X746" s="133"/>
      <c r="Y746" s="132"/>
      <c r="Z746" s="132"/>
      <c r="AA746" s="133"/>
      <c r="AB746" s="132"/>
      <c r="AC746" s="132"/>
      <c r="AD746" s="133"/>
      <c r="AE746" s="132"/>
      <c r="AF746" s="111"/>
      <c r="AG746" s="67"/>
    </row>
    <row r="747" spans="1:33">
      <c r="A747" s="9"/>
      <c r="B747" s="180"/>
      <c r="C747" s="111"/>
      <c r="D747" s="111"/>
      <c r="E747" s="111"/>
      <c r="F747" s="111"/>
      <c r="G747" s="111"/>
      <c r="H747" s="151"/>
      <c r="I747" s="151"/>
      <c r="J747" s="151"/>
      <c r="K747" s="151"/>
      <c r="L747" s="132"/>
      <c r="M747" s="111"/>
      <c r="N747" s="111"/>
      <c r="O747" s="111"/>
      <c r="P747" s="111"/>
      <c r="Q747" s="111"/>
      <c r="R747" s="111"/>
      <c r="S747" s="712"/>
      <c r="T747" s="111"/>
      <c r="U747" s="111"/>
      <c r="V747" s="111"/>
      <c r="W747" s="111"/>
      <c r="X747" s="132"/>
      <c r="Y747" s="111"/>
      <c r="Z747" s="111"/>
      <c r="AA747" s="111"/>
      <c r="AB747" s="111"/>
      <c r="AC747" s="111"/>
      <c r="AD747" s="111"/>
      <c r="AE747" s="111"/>
      <c r="AF747" s="111"/>
      <c r="AG747" s="67"/>
    </row>
    <row r="748" spans="1:33">
      <c r="A748" s="725">
        <v>42</v>
      </c>
      <c r="B748" s="726" t="e" vm="1">
        <f>'[2]AUN Budget'!E380</f>
        <v>#VALUE!</v>
      </c>
      <c r="C748" s="731"/>
      <c r="D748" s="731"/>
      <c r="E748" s="731"/>
      <c r="F748" s="731"/>
      <c r="G748" s="731"/>
      <c r="H748" s="731"/>
      <c r="I748" s="151"/>
      <c r="J748" s="151"/>
      <c r="K748" s="151"/>
      <c r="L748" s="132"/>
      <c r="M748" s="111"/>
      <c r="N748" s="111"/>
      <c r="O748" s="111"/>
      <c r="P748" s="111"/>
      <c r="Q748" s="111"/>
      <c r="R748" s="111"/>
      <c r="S748" s="712"/>
      <c r="T748" s="111"/>
      <c r="U748" s="111"/>
      <c r="V748" s="111"/>
      <c r="W748" s="111"/>
      <c r="X748" s="132"/>
      <c r="Y748" s="111"/>
      <c r="Z748" s="111"/>
      <c r="AA748" s="111"/>
      <c r="AB748" s="111"/>
      <c r="AC748" s="111"/>
      <c r="AD748" s="111"/>
      <c r="AE748" s="111"/>
      <c r="AF748" s="111"/>
      <c r="AG748" s="67"/>
    </row>
    <row r="749" spans="1:33">
      <c r="A749" s="134"/>
      <c r="B749" s="905" t="s">
        <v>1345</v>
      </c>
      <c r="C749" s="895"/>
      <c r="D749" s="895"/>
      <c r="E749" s="895"/>
      <c r="F749" s="896"/>
      <c r="G749" s="919" t="s">
        <v>1346</v>
      </c>
      <c r="H749" s="896"/>
      <c r="I749" s="151"/>
      <c r="J749" s="151"/>
      <c r="K749" s="151"/>
      <c r="L749" s="111"/>
      <c r="M749" s="111"/>
      <c r="N749" s="111"/>
      <c r="O749" s="111"/>
      <c r="P749" s="111"/>
      <c r="Q749" s="111"/>
      <c r="R749" s="111"/>
      <c r="S749" s="712"/>
      <c r="T749" s="111"/>
      <c r="U749" s="111"/>
      <c r="V749" s="111"/>
      <c r="W749" s="111"/>
      <c r="X749" s="111"/>
      <c r="Y749" s="111"/>
      <c r="Z749" s="111"/>
      <c r="AA749" s="111"/>
      <c r="AB749" s="111"/>
      <c r="AC749" s="111"/>
      <c r="AD749" s="111"/>
      <c r="AE749" s="111"/>
      <c r="AF749" s="111"/>
      <c r="AG749" s="67"/>
    </row>
    <row r="750" spans="1:33">
      <c r="A750" s="134"/>
      <c r="B750" s="244" t="s">
        <v>1347</v>
      </c>
      <c r="C750" s="244" t="s">
        <v>697</v>
      </c>
      <c r="D750" s="244" t="s">
        <v>1348</v>
      </c>
      <c r="E750" s="244" t="s">
        <v>759</v>
      </c>
      <c r="F750" s="244" t="s">
        <v>1349</v>
      </c>
      <c r="G750" s="905" t="s">
        <v>1350</v>
      </c>
      <c r="H750" s="896"/>
      <c r="I750" s="151"/>
      <c r="J750" s="151"/>
      <c r="K750" s="151"/>
      <c r="L750" s="111"/>
      <c r="M750" s="111"/>
      <c r="N750" s="111"/>
      <c r="O750" s="111"/>
      <c r="P750" s="111"/>
      <c r="Q750" s="111"/>
      <c r="R750" s="111"/>
      <c r="S750" s="712"/>
      <c r="T750" s="159" t="s">
        <v>387</v>
      </c>
      <c r="U750" s="159" t="s">
        <v>388</v>
      </c>
      <c r="V750" s="159" t="s">
        <v>934</v>
      </c>
      <c r="W750" s="160" t="s">
        <v>935</v>
      </c>
      <c r="X750" s="161" t="s">
        <v>936</v>
      </c>
      <c r="Y750" s="162" t="s">
        <v>937</v>
      </c>
      <c r="Z750" s="161" t="s">
        <v>938</v>
      </c>
      <c r="AA750" s="161" t="s">
        <v>939</v>
      </c>
      <c r="AB750" s="162" t="s">
        <v>940</v>
      </c>
      <c r="AC750" s="161" t="s">
        <v>941</v>
      </c>
      <c r="AD750" s="161" t="s">
        <v>942</v>
      </c>
      <c r="AE750" s="162" t="s">
        <v>943</v>
      </c>
      <c r="AF750" s="161" t="s">
        <v>944</v>
      </c>
      <c r="AG750" s="67"/>
    </row>
    <row r="751" spans="1:33">
      <c r="A751" s="134"/>
      <c r="B751" s="245" t="s">
        <v>1351</v>
      </c>
      <c r="C751" s="245" t="s">
        <v>1182</v>
      </c>
      <c r="D751" s="246" t="e" vm="1">
        <f>4500*[2]Setup!$F$49</f>
        <v>#VALUE!</v>
      </c>
      <c r="E751" s="246">
        <v>4</v>
      </c>
      <c r="F751" s="246" t="e" vm="2">
        <f t="shared" ref="F751:F756" si="858">D751*E751</f>
        <v>#VALUE!</v>
      </c>
      <c r="G751" s="916" t="s">
        <v>1352</v>
      </c>
      <c r="H751" s="908"/>
      <c r="I751" s="151"/>
      <c r="J751" s="151"/>
      <c r="K751" s="151"/>
      <c r="L751" s="242"/>
      <c r="M751" s="111"/>
      <c r="N751" s="111"/>
      <c r="O751" s="111"/>
      <c r="P751" s="111"/>
      <c r="Q751" s="111"/>
      <c r="R751" s="111"/>
      <c r="S751" s="712"/>
      <c r="T751" s="169" t="e">
        <f>'[2]AUN Budget'!#REF!</f>
        <v>#REF!</v>
      </c>
      <c r="U751" s="169" t="e">
        <f>'[2]AUN Budget'!#REF!</f>
        <v>#REF!</v>
      </c>
      <c r="V751" s="121" t="s">
        <v>848</v>
      </c>
      <c r="W751" s="164" t="s">
        <v>947</v>
      </c>
      <c r="X751" s="170">
        <f>'Assumptions TRC_AUN'!$E$33</f>
        <v>3334</v>
      </c>
      <c r="Y751" s="200" t="e">
        <f t="shared" ref="Y751:Y756" si="859">Z751/X751</f>
        <v>#VALUE!</v>
      </c>
      <c r="Z751" s="167" t="e" vm="2">
        <f t="shared" ref="Z751:Z756" si="860">F751</f>
        <v>#VALUE!</v>
      </c>
      <c r="AA751" s="164"/>
      <c r="AB751" s="200"/>
      <c r="AC751" s="167"/>
      <c r="AD751" s="164"/>
      <c r="AE751" s="200"/>
      <c r="AF751" s="167"/>
      <c r="AG751" s="67"/>
    </row>
    <row r="752" spans="1:33">
      <c r="A752" s="134"/>
      <c r="B752" s="245" t="s">
        <v>1353</v>
      </c>
      <c r="C752" s="245" t="s">
        <v>1182</v>
      </c>
      <c r="D752" s="246" t="e" vm="1">
        <f>2200*[2]Setup!$F$49</f>
        <v>#VALUE!</v>
      </c>
      <c r="E752" s="246">
        <v>4</v>
      </c>
      <c r="F752" s="246" t="e" vm="2">
        <f t="shared" si="858"/>
        <v>#VALUE!</v>
      </c>
      <c r="G752" s="909"/>
      <c r="H752" s="899"/>
      <c r="I752" s="151"/>
      <c r="J752" s="151"/>
      <c r="K752" s="151"/>
      <c r="L752" s="242"/>
      <c r="M752" s="111"/>
      <c r="N752" s="111"/>
      <c r="O752" s="111"/>
      <c r="P752" s="111"/>
      <c r="Q752" s="111"/>
      <c r="R752" s="111"/>
      <c r="S752" s="712"/>
      <c r="T752" s="169" t="e">
        <f>'[2]AUN Budget'!#REF!</f>
        <v>#REF!</v>
      </c>
      <c r="U752" s="169" t="e">
        <f>'[2]AUN Budget'!#REF!</f>
        <v>#REF!</v>
      </c>
      <c r="V752" s="121" t="s">
        <v>848</v>
      </c>
      <c r="W752" s="164" t="s">
        <v>947</v>
      </c>
      <c r="X752" s="170">
        <f>'Assumptions TRC_AUN'!$E$33</f>
        <v>3334</v>
      </c>
      <c r="Y752" s="200" t="e">
        <f t="shared" si="859"/>
        <v>#VALUE!</v>
      </c>
      <c r="Z752" s="167" t="e" vm="2">
        <f t="shared" si="860"/>
        <v>#VALUE!</v>
      </c>
      <c r="AA752" s="164"/>
      <c r="AB752" s="200"/>
      <c r="AC752" s="167"/>
      <c r="AD752" s="164"/>
      <c r="AE752" s="200"/>
      <c r="AF752" s="167"/>
      <c r="AG752" s="67"/>
    </row>
    <row r="753" spans="1:33">
      <c r="A753" s="134"/>
      <c r="B753" s="245" t="s">
        <v>1354</v>
      </c>
      <c r="C753" s="245" t="s">
        <v>1182</v>
      </c>
      <c r="D753" s="246" t="e" vm="1">
        <f>2200*[2]Setup!$F$49</f>
        <v>#VALUE!</v>
      </c>
      <c r="E753" s="246">
        <v>4</v>
      </c>
      <c r="F753" s="246" t="e" vm="2">
        <f t="shared" si="858"/>
        <v>#VALUE!</v>
      </c>
      <c r="G753" s="909"/>
      <c r="H753" s="899"/>
      <c r="I753" s="151"/>
      <c r="J753" s="151"/>
      <c r="K753" s="151"/>
      <c r="L753" s="242"/>
      <c r="M753" s="111"/>
      <c r="N753" s="111"/>
      <c r="O753" s="111"/>
      <c r="P753" s="111"/>
      <c r="Q753" s="111"/>
      <c r="R753" s="111"/>
      <c r="S753" s="712"/>
      <c r="T753" s="169" t="e">
        <f>'[2]AUN Budget'!#REF!</f>
        <v>#REF!</v>
      </c>
      <c r="U753" s="169" t="e">
        <f>'[2]AUN Budget'!#REF!</f>
        <v>#REF!</v>
      </c>
      <c r="V753" s="121" t="s">
        <v>848</v>
      </c>
      <c r="W753" s="164" t="s">
        <v>947</v>
      </c>
      <c r="X753" s="170">
        <f>'Assumptions TRC_AUN'!$E$33</f>
        <v>3334</v>
      </c>
      <c r="Y753" s="200" t="e">
        <f t="shared" si="859"/>
        <v>#VALUE!</v>
      </c>
      <c r="Z753" s="167" t="e" vm="2">
        <f t="shared" si="860"/>
        <v>#VALUE!</v>
      </c>
      <c r="AA753" s="164"/>
      <c r="AB753" s="200"/>
      <c r="AC753" s="167"/>
      <c r="AD753" s="164"/>
      <c r="AE753" s="200"/>
      <c r="AF753" s="167"/>
      <c r="AG753" s="67"/>
    </row>
    <row r="754" spans="1:33">
      <c r="A754" s="134"/>
      <c r="B754" s="245" t="s">
        <v>1355</v>
      </c>
      <c r="C754" s="245" t="s">
        <v>1182</v>
      </c>
      <c r="D754" s="246" t="e" vm="1">
        <f>2200*[2]Setup!$F$49</f>
        <v>#VALUE!</v>
      </c>
      <c r="E754" s="246">
        <v>4</v>
      </c>
      <c r="F754" s="246" t="e" vm="2">
        <f t="shared" si="858"/>
        <v>#VALUE!</v>
      </c>
      <c r="G754" s="909"/>
      <c r="H754" s="899"/>
      <c r="I754" s="151"/>
      <c r="J754" s="151"/>
      <c r="K754" s="151"/>
      <c r="L754" s="242"/>
      <c r="M754" s="111"/>
      <c r="N754" s="111"/>
      <c r="O754" s="111"/>
      <c r="P754" s="111"/>
      <c r="Q754" s="111"/>
      <c r="R754" s="111"/>
      <c r="S754" s="712"/>
      <c r="T754" s="169" t="e">
        <f>'[2]AUN Budget'!#REF!</f>
        <v>#REF!</v>
      </c>
      <c r="U754" s="169" t="e">
        <f>'[2]AUN Budget'!#REF!</f>
        <v>#REF!</v>
      </c>
      <c r="V754" s="121" t="s">
        <v>848</v>
      </c>
      <c r="W754" s="164" t="s">
        <v>947</v>
      </c>
      <c r="X754" s="170">
        <f>'Assumptions TRC_AUN'!$E$33</f>
        <v>3334</v>
      </c>
      <c r="Y754" s="200" t="e">
        <f t="shared" si="859"/>
        <v>#VALUE!</v>
      </c>
      <c r="Z754" s="167" t="e" vm="2">
        <f t="shared" si="860"/>
        <v>#VALUE!</v>
      </c>
      <c r="AA754" s="164"/>
      <c r="AB754" s="200"/>
      <c r="AC754" s="167"/>
      <c r="AD754" s="164"/>
      <c r="AE754" s="200"/>
      <c r="AF754" s="167"/>
      <c r="AG754" s="67"/>
    </row>
    <row r="755" spans="1:33">
      <c r="A755" s="134"/>
      <c r="B755" s="245" t="s">
        <v>1356</v>
      </c>
      <c r="C755" s="245" t="s">
        <v>1182</v>
      </c>
      <c r="D755" s="246" t="e" vm="1">
        <f>3300*[2]Setup!$F$49</f>
        <v>#VALUE!</v>
      </c>
      <c r="E755" s="246">
        <v>2</v>
      </c>
      <c r="F755" s="246" t="e" vm="2">
        <f t="shared" si="858"/>
        <v>#VALUE!</v>
      </c>
      <c r="G755" s="909"/>
      <c r="H755" s="899"/>
      <c r="I755" s="151"/>
      <c r="J755" s="151"/>
      <c r="K755" s="151"/>
      <c r="L755" s="242"/>
      <c r="M755" s="111"/>
      <c r="N755" s="111"/>
      <c r="O755" s="111"/>
      <c r="P755" s="111"/>
      <c r="Q755" s="111"/>
      <c r="R755" s="111"/>
      <c r="S755" s="712"/>
      <c r="T755" s="169" t="e">
        <f>'[2]AUN Budget'!#REF!</f>
        <v>#REF!</v>
      </c>
      <c r="U755" s="169" t="e">
        <f>'[2]AUN Budget'!#REF!</f>
        <v>#REF!</v>
      </c>
      <c r="V755" s="121" t="s">
        <v>848</v>
      </c>
      <c r="W755" s="164" t="s">
        <v>947</v>
      </c>
      <c r="X755" s="170">
        <f>'Assumptions TRC_AUN'!$E$33</f>
        <v>3334</v>
      </c>
      <c r="Y755" s="200" t="e">
        <f t="shared" si="859"/>
        <v>#VALUE!</v>
      </c>
      <c r="Z755" s="167" t="e" vm="2">
        <f t="shared" si="860"/>
        <v>#VALUE!</v>
      </c>
      <c r="AA755" s="164"/>
      <c r="AB755" s="200"/>
      <c r="AC755" s="167"/>
      <c r="AD755" s="164"/>
      <c r="AE755" s="200"/>
      <c r="AF755" s="167"/>
      <c r="AG755" s="67"/>
    </row>
    <row r="756" spans="1:33">
      <c r="A756" s="134"/>
      <c r="B756" s="245" t="s">
        <v>1357</v>
      </c>
      <c r="C756" s="245" t="s">
        <v>1182</v>
      </c>
      <c r="D756" s="246" t="e" vm="1">
        <f>3300*[2]Setup!$F$49</f>
        <v>#VALUE!</v>
      </c>
      <c r="E756" s="246">
        <v>2</v>
      </c>
      <c r="F756" s="246" t="e" vm="2">
        <f t="shared" si="858"/>
        <v>#VALUE!</v>
      </c>
      <c r="G756" s="909"/>
      <c r="H756" s="899"/>
      <c r="I756" s="151"/>
      <c r="J756" s="151"/>
      <c r="K756" s="151"/>
      <c r="L756" s="242"/>
      <c r="M756" s="111"/>
      <c r="N756" s="111"/>
      <c r="O756" s="111"/>
      <c r="P756" s="111"/>
      <c r="Q756" s="111"/>
      <c r="R756" s="111"/>
      <c r="S756" s="712"/>
      <c r="T756" s="169" t="e">
        <f>'[2]AUN Budget'!#REF!</f>
        <v>#REF!</v>
      </c>
      <c r="U756" s="169" t="e">
        <f>'[2]AUN Budget'!#REF!</f>
        <v>#REF!</v>
      </c>
      <c r="V756" s="121" t="s">
        <v>848</v>
      </c>
      <c r="W756" s="164" t="s">
        <v>947</v>
      </c>
      <c r="X756" s="170">
        <f>'Assumptions TRC_AUN'!$E$33</f>
        <v>3334</v>
      </c>
      <c r="Y756" s="200" t="e">
        <f t="shared" si="859"/>
        <v>#VALUE!</v>
      </c>
      <c r="Z756" s="167" t="e" vm="2">
        <f t="shared" si="860"/>
        <v>#VALUE!</v>
      </c>
      <c r="AA756" s="164"/>
      <c r="AB756" s="200"/>
      <c r="AC756" s="167"/>
      <c r="AD756" s="164"/>
      <c r="AE756" s="200"/>
      <c r="AF756" s="167"/>
      <c r="AG756" s="67"/>
    </row>
    <row r="757" spans="1:33">
      <c r="A757" s="134"/>
      <c r="B757" s="245"/>
      <c r="C757" s="245"/>
      <c r="D757" s="245"/>
      <c r="E757" s="245"/>
      <c r="F757" s="245"/>
      <c r="G757" s="909"/>
      <c r="H757" s="899"/>
      <c r="I757" s="151"/>
      <c r="J757" s="151"/>
      <c r="K757" s="151"/>
      <c r="L757" s="111"/>
      <c r="M757" s="111"/>
      <c r="N757" s="111"/>
      <c r="O757" s="111"/>
      <c r="P757" s="111"/>
      <c r="Q757" s="111"/>
      <c r="R757" s="111"/>
      <c r="S757" s="712"/>
      <c r="T757" s="111"/>
      <c r="U757" s="111"/>
      <c r="V757" s="111"/>
      <c r="W757" s="111"/>
      <c r="X757" s="111"/>
      <c r="Y757" s="111"/>
      <c r="Z757" s="151"/>
      <c r="AA757" s="111"/>
      <c r="AB757" s="111"/>
      <c r="AC757" s="111"/>
      <c r="AD757" s="111"/>
      <c r="AE757" s="111"/>
      <c r="AF757" s="111"/>
      <c r="AG757" s="67"/>
    </row>
    <row r="758" spans="1:33">
      <c r="A758" s="134"/>
      <c r="B758" s="247" t="s">
        <v>1358</v>
      </c>
      <c r="C758" s="247"/>
      <c r="D758" s="247"/>
      <c r="E758" s="247"/>
      <c r="F758" s="248" t="e" vm="2">
        <f>SUM(F751:F756)</f>
        <v>#VALUE!</v>
      </c>
      <c r="G758" s="910"/>
      <c r="H758" s="911"/>
      <c r="I758" s="151"/>
      <c r="J758" s="151"/>
      <c r="K758" s="151"/>
      <c r="L758" s="111"/>
      <c r="M758" s="111"/>
      <c r="N758" s="111"/>
      <c r="O758" s="111"/>
      <c r="P758" s="111"/>
      <c r="Q758" s="111"/>
      <c r="R758" s="111"/>
      <c r="S758" s="712"/>
      <c r="T758" s="111"/>
      <c r="U758" s="111"/>
      <c r="V758" s="111"/>
      <c r="W758" s="111"/>
      <c r="X758" s="111"/>
      <c r="Y758" s="111"/>
      <c r="Z758" s="151"/>
      <c r="AA758" s="111"/>
      <c r="AB758" s="111"/>
      <c r="AC758" s="111"/>
      <c r="AD758" s="111"/>
      <c r="AE758" s="111"/>
      <c r="AF758" s="111"/>
      <c r="AG758" s="67"/>
    </row>
    <row r="759" spans="1:33">
      <c r="A759" s="9"/>
      <c r="B759" s="249"/>
      <c r="C759" s="249"/>
      <c r="D759" s="249"/>
      <c r="E759" s="249"/>
      <c r="F759" s="249"/>
      <c r="G759" s="249"/>
      <c r="H759" s="249"/>
      <c r="I759" s="151"/>
      <c r="J759" s="151"/>
      <c r="K759" s="151"/>
      <c r="L759" s="111"/>
      <c r="M759" s="111"/>
      <c r="N759" s="111"/>
      <c r="O759" s="111"/>
      <c r="P759" s="111"/>
      <c r="Q759" s="111"/>
      <c r="R759" s="111"/>
      <c r="S759" s="712"/>
      <c r="T759" s="111"/>
      <c r="U759" s="111"/>
      <c r="V759" s="111"/>
      <c r="W759" s="111"/>
      <c r="X759" s="111"/>
      <c r="Y759" s="111"/>
      <c r="Z759" s="111"/>
      <c r="AA759" s="111"/>
      <c r="AB759" s="111"/>
      <c r="AC759" s="111"/>
      <c r="AD759" s="111"/>
      <c r="AE759" s="111"/>
      <c r="AF759" s="111"/>
      <c r="AG759" s="67"/>
    </row>
    <row r="760" spans="1:33">
      <c r="A760" s="134"/>
      <c r="B760" s="906" t="s">
        <v>1359</v>
      </c>
      <c r="C760" s="895"/>
      <c r="D760" s="895"/>
      <c r="E760" s="895"/>
      <c r="F760" s="896"/>
      <c r="G760" s="914" t="s">
        <v>1360</v>
      </c>
      <c r="H760" s="896"/>
      <c r="I760" s="151"/>
      <c r="J760" s="151"/>
      <c r="K760" s="151"/>
      <c r="L760" s="111"/>
      <c r="M760" s="111"/>
      <c r="N760" s="111"/>
      <c r="O760" s="111"/>
      <c r="P760" s="111"/>
      <c r="Q760" s="111"/>
      <c r="R760" s="111"/>
      <c r="S760" s="712"/>
      <c r="T760" s="111"/>
      <c r="U760" s="111"/>
      <c r="V760" s="111"/>
      <c r="W760" s="111"/>
      <c r="X760" s="132"/>
      <c r="Y760" s="111"/>
      <c r="Z760" s="111"/>
      <c r="AA760" s="111"/>
      <c r="AB760" s="111"/>
      <c r="AC760" s="111"/>
      <c r="AD760" s="111"/>
      <c r="AE760" s="111"/>
      <c r="AF760" s="111"/>
      <c r="AG760" s="67"/>
    </row>
    <row r="761" spans="1:33">
      <c r="A761" s="134"/>
      <c r="B761" s="113" t="s">
        <v>1347</v>
      </c>
      <c r="C761" s="113" t="s">
        <v>697</v>
      </c>
      <c r="D761" s="113" t="s">
        <v>1348</v>
      </c>
      <c r="E761" s="143" t="s">
        <v>759</v>
      </c>
      <c r="F761" s="143" t="s">
        <v>1349</v>
      </c>
      <c r="G761" s="905" t="s">
        <v>1350</v>
      </c>
      <c r="H761" s="896"/>
      <c r="I761" s="151"/>
      <c r="J761" s="151"/>
      <c r="K761" s="151"/>
      <c r="L761" s="111"/>
      <c r="M761" s="111"/>
      <c r="N761" s="111"/>
      <c r="O761" s="111"/>
      <c r="P761" s="111"/>
      <c r="Q761" s="111"/>
      <c r="R761" s="111"/>
      <c r="S761" s="712"/>
      <c r="T761" s="159" t="s">
        <v>387</v>
      </c>
      <c r="U761" s="159" t="s">
        <v>388</v>
      </c>
      <c r="V761" s="159" t="s">
        <v>934</v>
      </c>
      <c r="W761" s="160" t="s">
        <v>935</v>
      </c>
      <c r="X761" s="161" t="s">
        <v>936</v>
      </c>
      <c r="Y761" s="162" t="s">
        <v>937</v>
      </c>
      <c r="Z761" s="161" t="s">
        <v>938</v>
      </c>
      <c r="AA761" s="161" t="s">
        <v>939</v>
      </c>
      <c r="AB761" s="162" t="s">
        <v>940</v>
      </c>
      <c r="AC761" s="161" t="s">
        <v>941</v>
      </c>
      <c r="AD761" s="161" t="s">
        <v>942</v>
      </c>
      <c r="AE761" s="162" t="s">
        <v>943</v>
      </c>
      <c r="AF761" s="161" t="s">
        <v>944</v>
      </c>
      <c r="AG761" s="67"/>
    </row>
    <row r="762" spans="1:33">
      <c r="A762" s="134"/>
      <c r="B762" s="245" t="s">
        <v>1361</v>
      </c>
      <c r="C762" s="245" t="s">
        <v>1362</v>
      </c>
      <c r="D762" s="246" t="e" vm="1">
        <f>35*[2]Setup!$F$49</f>
        <v>#VALUE!</v>
      </c>
      <c r="E762" s="246">
        <v>890</v>
      </c>
      <c r="F762" s="246" t="e" vm="2">
        <f t="shared" ref="F762:F772" si="861">D762*E762</f>
        <v>#VALUE!</v>
      </c>
      <c r="G762" s="907" t="s">
        <v>1363</v>
      </c>
      <c r="H762" s="908"/>
      <c r="I762" s="151"/>
      <c r="J762" s="151"/>
      <c r="K762" s="151"/>
      <c r="L762" s="111"/>
      <c r="M762" s="111"/>
      <c r="N762" s="111"/>
      <c r="O762" s="111"/>
      <c r="P762" s="111"/>
      <c r="Q762" s="111"/>
      <c r="R762" s="111"/>
      <c r="S762" s="712"/>
      <c r="T762" s="169" t="e">
        <f>'[2]AUN Budget'!#REF!</f>
        <v>#REF!</v>
      </c>
      <c r="U762" s="169" t="e">
        <f>'[2]AUN Budget'!#REF!</f>
        <v>#REF!</v>
      </c>
      <c r="V762" s="121" t="s">
        <v>848</v>
      </c>
      <c r="W762" s="164" t="s">
        <v>947</v>
      </c>
      <c r="X762" s="170">
        <f>'Assumptions TRC_AUN'!$E$33</f>
        <v>3334</v>
      </c>
      <c r="Y762" s="200" t="e">
        <f t="shared" ref="Y762:Y772" si="862">Z762/X762</f>
        <v>#VALUE!</v>
      </c>
      <c r="Z762" s="167" t="e" vm="2">
        <f t="shared" ref="Z762:Z772" si="863">$F762/3</f>
        <v>#VALUE!</v>
      </c>
      <c r="AA762" s="170">
        <f>'Assumptions TRC_AUN'!$E$33</f>
        <v>3334</v>
      </c>
      <c r="AB762" s="200" t="e">
        <f t="shared" ref="AB762:AB772" si="864">AC762/AA762</f>
        <v>#VALUE!</v>
      </c>
      <c r="AC762" s="167" t="e" vm="2">
        <f t="shared" ref="AC762:AC772" si="865">$F762/3</f>
        <v>#VALUE!</v>
      </c>
      <c r="AD762" s="170">
        <f>'Assumptions TRC_AUN'!$E$33</f>
        <v>3334</v>
      </c>
      <c r="AE762" s="200" t="e">
        <f t="shared" ref="AE762:AE772" si="866">AF762/AD762</f>
        <v>#VALUE!</v>
      </c>
      <c r="AF762" s="167" t="e" vm="2">
        <f t="shared" ref="AF762:AF772" si="867">$F762/3</f>
        <v>#VALUE!</v>
      </c>
      <c r="AG762" s="67"/>
    </row>
    <row r="763" spans="1:33">
      <c r="A763" s="134"/>
      <c r="B763" s="245" t="s">
        <v>1364</v>
      </c>
      <c r="C763" s="245" t="s">
        <v>1362</v>
      </c>
      <c r="D763" s="246" t="e" vm="1">
        <f>35*[2]Setup!$F$49</f>
        <v>#VALUE!</v>
      </c>
      <c r="E763" s="246">
        <v>890</v>
      </c>
      <c r="F763" s="246" t="e" vm="2">
        <f t="shared" si="861"/>
        <v>#VALUE!</v>
      </c>
      <c r="G763" s="909"/>
      <c r="H763" s="899"/>
      <c r="I763" s="151"/>
      <c r="J763" s="151"/>
      <c r="K763" s="151"/>
      <c r="L763" s="111"/>
      <c r="M763" s="111"/>
      <c r="N763" s="111"/>
      <c r="O763" s="111"/>
      <c r="P763" s="111"/>
      <c r="Q763" s="111"/>
      <c r="R763" s="111"/>
      <c r="S763" s="712"/>
      <c r="T763" s="169" t="e">
        <f>'[2]AUN Budget'!#REF!</f>
        <v>#REF!</v>
      </c>
      <c r="U763" s="169" t="e">
        <f>'[2]AUN Budget'!#REF!</f>
        <v>#REF!</v>
      </c>
      <c r="V763" s="121" t="s">
        <v>848</v>
      </c>
      <c r="W763" s="164" t="s">
        <v>947</v>
      </c>
      <c r="X763" s="170">
        <f>'Assumptions TRC_AUN'!$E$33</f>
        <v>3334</v>
      </c>
      <c r="Y763" s="200" t="e">
        <f t="shared" si="862"/>
        <v>#VALUE!</v>
      </c>
      <c r="Z763" s="167" t="e" vm="2">
        <f t="shared" si="863"/>
        <v>#VALUE!</v>
      </c>
      <c r="AA763" s="170">
        <f>'Assumptions TRC_AUN'!$E$33</f>
        <v>3334</v>
      </c>
      <c r="AB763" s="200" t="e">
        <f t="shared" si="864"/>
        <v>#VALUE!</v>
      </c>
      <c r="AC763" s="167" t="e" vm="2">
        <f t="shared" si="865"/>
        <v>#VALUE!</v>
      </c>
      <c r="AD763" s="170">
        <f>'Assumptions TRC_AUN'!$E$33</f>
        <v>3334</v>
      </c>
      <c r="AE763" s="200" t="e">
        <f t="shared" si="866"/>
        <v>#VALUE!</v>
      </c>
      <c r="AF763" s="167" t="e" vm="2">
        <f t="shared" si="867"/>
        <v>#VALUE!</v>
      </c>
      <c r="AG763" s="67"/>
    </row>
    <row r="764" spans="1:33">
      <c r="A764" s="134"/>
      <c r="B764" s="245" t="s">
        <v>1365</v>
      </c>
      <c r="C764" s="245" t="s">
        <v>1362</v>
      </c>
      <c r="D764" s="246" t="e" vm="1">
        <f>35*[2]Setup!$F$49</f>
        <v>#VALUE!</v>
      </c>
      <c r="E764" s="246">
        <v>890</v>
      </c>
      <c r="F764" s="246" t="e" vm="2">
        <f t="shared" si="861"/>
        <v>#VALUE!</v>
      </c>
      <c r="G764" s="909"/>
      <c r="H764" s="899"/>
      <c r="I764" s="151"/>
      <c r="J764" s="151"/>
      <c r="K764" s="151"/>
      <c r="L764" s="111"/>
      <c r="M764" s="111"/>
      <c r="N764" s="111"/>
      <c r="O764" s="111"/>
      <c r="P764" s="111"/>
      <c r="Q764" s="111"/>
      <c r="R764" s="111"/>
      <c r="S764" s="712"/>
      <c r="T764" s="169" t="e">
        <f>'[2]AUN Budget'!#REF!</f>
        <v>#REF!</v>
      </c>
      <c r="U764" s="169" t="e">
        <f>'[2]AUN Budget'!#REF!</f>
        <v>#REF!</v>
      </c>
      <c r="V764" s="121" t="s">
        <v>848</v>
      </c>
      <c r="W764" s="164" t="s">
        <v>947</v>
      </c>
      <c r="X764" s="170">
        <f>'Assumptions TRC_AUN'!$E$33</f>
        <v>3334</v>
      </c>
      <c r="Y764" s="200" t="e">
        <f t="shared" si="862"/>
        <v>#VALUE!</v>
      </c>
      <c r="Z764" s="167" t="e" vm="2">
        <f t="shared" si="863"/>
        <v>#VALUE!</v>
      </c>
      <c r="AA764" s="170">
        <f>'Assumptions TRC_AUN'!$E$33</f>
        <v>3334</v>
      </c>
      <c r="AB764" s="200" t="e">
        <f t="shared" si="864"/>
        <v>#VALUE!</v>
      </c>
      <c r="AC764" s="167" t="e" vm="2">
        <f t="shared" si="865"/>
        <v>#VALUE!</v>
      </c>
      <c r="AD764" s="170">
        <f>'Assumptions TRC_AUN'!$E$33</f>
        <v>3334</v>
      </c>
      <c r="AE764" s="200" t="e">
        <f t="shared" si="866"/>
        <v>#VALUE!</v>
      </c>
      <c r="AF764" s="167" t="e" vm="2">
        <f t="shared" si="867"/>
        <v>#VALUE!</v>
      </c>
      <c r="AG764" s="67"/>
    </row>
    <row r="765" spans="1:33">
      <c r="A765" s="134"/>
      <c r="B765" s="245" t="s">
        <v>1366</v>
      </c>
      <c r="C765" s="245" t="s">
        <v>1362</v>
      </c>
      <c r="D765" s="246" t="e" vm="1">
        <f>35*[2]Setup!$F$49</f>
        <v>#VALUE!</v>
      </c>
      <c r="E765" s="246">
        <v>890</v>
      </c>
      <c r="F765" s="246" t="e" vm="2">
        <f t="shared" si="861"/>
        <v>#VALUE!</v>
      </c>
      <c r="G765" s="909"/>
      <c r="H765" s="899"/>
      <c r="I765" s="151"/>
      <c r="J765" s="151"/>
      <c r="K765" s="151"/>
      <c r="L765" s="111"/>
      <c r="M765" s="111"/>
      <c r="N765" s="111"/>
      <c r="O765" s="111"/>
      <c r="P765" s="111"/>
      <c r="Q765" s="111"/>
      <c r="R765" s="111"/>
      <c r="S765" s="712"/>
      <c r="T765" s="169" t="e">
        <f>'[2]AUN Budget'!#REF!</f>
        <v>#REF!</v>
      </c>
      <c r="U765" s="169" t="e">
        <f>'[2]AUN Budget'!#REF!</f>
        <v>#REF!</v>
      </c>
      <c r="V765" s="121" t="s">
        <v>848</v>
      </c>
      <c r="W765" s="164" t="s">
        <v>947</v>
      </c>
      <c r="X765" s="170">
        <f>'Assumptions TRC_AUN'!$E$33</f>
        <v>3334</v>
      </c>
      <c r="Y765" s="200" t="e">
        <f t="shared" si="862"/>
        <v>#VALUE!</v>
      </c>
      <c r="Z765" s="167" t="e" vm="2">
        <f t="shared" si="863"/>
        <v>#VALUE!</v>
      </c>
      <c r="AA765" s="170">
        <f>'Assumptions TRC_AUN'!$E$33</f>
        <v>3334</v>
      </c>
      <c r="AB765" s="200" t="e">
        <f t="shared" si="864"/>
        <v>#VALUE!</v>
      </c>
      <c r="AC765" s="167" t="e" vm="2">
        <f t="shared" si="865"/>
        <v>#VALUE!</v>
      </c>
      <c r="AD765" s="170">
        <f>'Assumptions TRC_AUN'!$E$33</f>
        <v>3334</v>
      </c>
      <c r="AE765" s="200" t="e">
        <f t="shared" si="866"/>
        <v>#VALUE!</v>
      </c>
      <c r="AF765" s="167" t="e" vm="2">
        <f t="shared" si="867"/>
        <v>#VALUE!</v>
      </c>
      <c r="AG765" s="67"/>
    </row>
    <row r="766" spans="1:33">
      <c r="A766" s="134"/>
      <c r="B766" s="245" t="s">
        <v>1367</v>
      </c>
      <c r="C766" s="245" t="s">
        <v>1362</v>
      </c>
      <c r="D766" s="246" t="e" vm="1">
        <f>35*[2]Setup!$F$49</f>
        <v>#VALUE!</v>
      </c>
      <c r="E766" s="246">
        <v>890</v>
      </c>
      <c r="F766" s="246" t="e" vm="2">
        <f t="shared" si="861"/>
        <v>#VALUE!</v>
      </c>
      <c r="G766" s="909"/>
      <c r="H766" s="899"/>
      <c r="I766" s="151"/>
      <c r="J766" s="151"/>
      <c r="K766" s="151"/>
      <c r="L766" s="111"/>
      <c r="M766" s="111"/>
      <c r="N766" s="111"/>
      <c r="O766" s="111"/>
      <c r="P766" s="111"/>
      <c r="Q766" s="111"/>
      <c r="R766" s="111"/>
      <c r="S766" s="712"/>
      <c r="T766" s="169" t="e">
        <f>'[2]AUN Budget'!#REF!</f>
        <v>#REF!</v>
      </c>
      <c r="U766" s="169" t="e">
        <f>'[2]AUN Budget'!#REF!</f>
        <v>#REF!</v>
      </c>
      <c r="V766" s="121" t="s">
        <v>848</v>
      </c>
      <c r="W766" s="164" t="s">
        <v>947</v>
      </c>
      <c r="X766" s="170">
        <f>'Assumptions TRC_AUN'!$E$33</f>
        <v>3334</v>
      </c>
      <c r="Y766" s="200" t="e">
        <f t="shared" si="862"/>
        <v>#VALUE!</v>
      </c>
      <c r="Z766" s="167" t="e" vm="2">
        <f t="shared" si="863"/>
        <v>#VALUE!</v>
      </c>
      <c r="AA766" s="170">
        <f>'Assumptions TRC_AUN'!$E$33</f>
        <v>3334</v>
      </c>
      <c r="AB766" s="200" t="e">
        <f t="shared" si="864"/>
        <v>#VALUE!</v>
      </c>
      <c r="AC766" s="167" t="e" vm="2">
        <f t="shared" si="865"/>
        <v>#VALUE!</v>
      </c>
      <c r="AD766" s="170">
        <f>'Assumptions TRC_AUN'!$E$33</f>
        <v>3334</v>
      </c>
      <c r="AE766" s="200" t="e">
        <f t="shared" si="866"/>
        <v>#VALUE!</v>
      </c>
      <c r="AF766" s="167" t="e" vm="2">
        <f t="shared" si="867"/>
        <v>#VALUE!</v>
      </c>
      <c r="AG766" s="67"/>
    </row>
    <row r="767" spans="1:33">
      <c r="A767" s="134"/>
      <c r="B767" s="245" t="s">
        <v>1368</v>
      </c>
      <c r="C767" s="245" t="s">
        <v>1362</v>
      </c>
      <c r="D767" s="246" t="e" vm="1">
        <f>35*[2]Setup!$F$49</f>
        <v>#VALUE!</v>
      </c>
      <c r="E767" s="246">
        <v>890</v>
      </c>
      <c r="F767" s="246" t="e" vm="2">
        <f t="shared" si="861"/>
        <v>#VALUE!</v>
      </c>
      <c r="G767" s="909"/>
      <c r="H767" s="899"/>
      <c r="I767" s="151"/>
      <c r="J767" s="151"/>
      <c r="K767" s="151"/>
      <c r="L767" s="111"/>
      <c r="M767" s="111"/>
      <c r="N767" s="111"/>
      <c r="O767" s="111"/>
      <c r="P767" s="111"/>
      <c r="Q767" s="111"/>
      <c r="R767" s="111"/>
      <c r="S767" s="712"/>
      <c r="T767" s="169" t="e">
        <f>'[2]AUN Budget'!#REF!</f>
        <v>#REF!</v>
      </c>
      <c r="U767" s="169" t="e">
        <f>'[2]AUN Budget'!#REF!</f>
        <v>#REF!</v>
      </c>
      <c r="V767" s="121" t="s">
        <v>848</v>
      </c>
      <c r="W767" s="164" t="s">
        <v>947</v>
      </c>
      <c r="X767" s="170">
        <f>'Assumptions TRC_AUN'!$E$33</f>
        <v>3334</v>
      </c>
      <c r="Y767" s="200" t="e">
        <f t="shared" si="862"/>
        <v>#VALUE!</v>
      </c>
      <c r="Z767" s="167" t="e" vm="2">
        <f t="shared" si="863"/>
        <v>#VALUE!</v>
      </c>
      <c r="AA767" s="170">
        <f>'Assumptions TRC_AUN'!$E$33</f>
        <v>3334</v>
      </c>
      <c r="AB767" s="200" t="e">
        <f t="shared" si="864"/>
        <v>#VALUE!</v>
      </c>
      <c r="AC767" s="167" t="e" vm="2">
        <f t="shared" si="865"/>
        <v>#VALUE!</v>
      </c>
      <c r="AD767" s="170">
        <f>'Assumptions TRC_AUN'!$E$33</f>
        <v>3334</v>
      </c>
      <c r="AE767" s="200" t="e">
        <f t="shared" si="866"/>
        <v>#VALUE!</v>
      </c>
      <c r="AF767" s="167" t="e" vm="2">
        <f t="shared" si="867"/>
        <v>#VALUE!</v>
      </c>
      <c r="AG767" s="67"/>
    </row>
    <row r="768" spans="1:33">
      <c r="A768" s="134"/>
      <c r="B768" s="245" t="s">
        <v>1369</v>
      </c>
      <c r="C768" s="245" t="s">
        <v>1362</v>
      </c>
      <c r="D768" s="246" t="e" vm="1">
        <f>35*[2]Setup!$F$49</f>
        <v>#VALUE!</v>
      </c>
      <c r="E768" s="246">
        <v>890</v>
      </c>
      <c r="F768" s="246" t="e" vm="2">
        <f t="shared" si="861"/>
        <v>#VALUE!</v>
      </c>
      <c r="G768" s="909"/>
      <c r="H768" s="899"/>
      <c r="I768" s="151"/>
      <c r="J768" s="151"/>
      <c r="K768" s="151"/>
      <c r="L768" s="111"/>
      <c r="M768" s="111"/>
      <c r="N768" s="111"/>
      <c r="O768" s="111"/>
      <c r="P768" s="111"/>
      <c r="Q768" s="111"/>
      <c r="R768" s="111"/>
      <c r="S768" s="712"/>
      <c r="T768" s="169" t="e">
        <f>'[2]AUN Budget'!#REF!</f>
        <v>#REF!</v>
      </c>
      <c r="U768" s="169" t="e">
        <f>'[2]AUN Budget'!#REF!</f>
        <v>#REF!</v>
      </c>
      <c r="V768" s="121" t="s">
        <v>848</v>
      </c>
      <c r="W768" s="164" t="s">
        <v>947</v>
      </c>
      <c r="X768" s="170">
        <f>'Assumptions TRC_AUN'!$E$33</f>
        <v>3334</v>
      </c>
      <c r="Y768" s="200" t="e">
        <f t="shared" si="862"/>
        <v>#VALUE!</v>
      </c>
      <c r="Z768" s="167" t="e" vm="2">
        <f t="shared" si="863"/>
        <v>#VALUE!</v>
      </c>
      <c r="AA768" s="170">
        <f>'Assumptions TRC_AUN'!$E$33</f>
        <v>3334</v>
      </c>
      <c r="AB768" s="200" t="e">
        <f t="shared" si="864"/>
        <v>#VALUE!</v>
      </c>
      <c r="AC768" s="167" t="e" vm="2">
        <f t="shared" si="865"/>
        <v>#VALUE!</v>
      </c>
      <c r="AD768" s="170">
        <f>'Assumptions TRC_AUN'!$E$33</f>
        <v>3334</v>
      </c>
      <c r="AE768" s="200" t="e">
        <f t="shared" si="866"/>
        <v>#VALUE!</v>
      </c>
      <c r="AF768" s="167" t="e" vm="2">
        <f t="shared" si="867"/>
        <v>#VALUE!</v>
      </c>
      <c r="AG768" s="67"/>
    </row>
    <row r="769" spans="1:33">
      <c r="A769" s="134"/>
      <c r="B769" s="245" t="s">
        <v>1370</v>
      </c>
      <c r="C769" s="245" t="s">
        <v>1362</v>
      </c>
      <c r="D769" s="246" t="e" vm="1">
        <f>35*[2]Setup!$F$49</f>
        <v>#VALUE!</v>
      </c>
      <c r="E769" s="246">
        <v>890</v>
      </c>
      <c r="F769" s="246" t="e" vm="2">
        <f t="shared" si="861"/>
        <v>#VALUE!</v>
      </c>
      <c r="G769" s="909"/>
      <c r="H769" s="899"/>
      <c r="I769" s="151"/>
      <c r="J769" s="151"/>
      <c r="K769" s="151"/>
      <c r="L769" s="111"/>
      <c r="M769" s="111"/>
      <c r="N769" s="111"/>
      <c r="O769" s="111"/>
      <c r="P769" s="111"/>
      <c r="Q769" s="111"/>
      <c r="R769" s="111"/>
      <c r="S769" s="712"/>
      <c r="T769" s="169" t="e">
        <f>'[2]AUN Budget'!#REF!</f>
        <v>#REF!</v>
      </c>
      <c r="U769" s="169" t="e">
        <f>'[2]AUN Budget'!#REF!</f>
        <v>#REF!</v>
      </c>
      <c r="V769" s="121" t="s">
        <v>848</v>
      </c>
      <c r="W769" s="164" t="s">
        <v>947</v>
      </c>
      <c r="X769" s="170">
        <f>'Assumptions TRC_AUN'!$E$33</f>
        <v>3334</v>
      </c>
      <c r="Y769" s="200" t="e">
        <f t="shared" si="862"/>
        <v>#VALUE!</v>
      </c>
      <c r="Z769" s="167" t="e" vm="2">
        <f t="shared" si="863"/>
        <v>#VALUE!</v>
      </c>
      <c r="AA769" s="170">
        <f>'Assumptions TRC_AUN'!$E$33</f>
        <v>3334</v>
      </c>
      <c r="AB769" s="200" t="e">
        <f t="shared" si="864"/>
        <v>#VALUE!</v>
      </c>
      <c r="AC769" s="167" t="e" vm="2">
        <f t="shared" si="865"/>
        <v>#VALUE!</v>
      </c>
      <c r="AD769" s="170">
        <f>'Assumptions TRC_AUN'!$E$33</f>
        <v>3334</v>
      </c>
      <c r="AE769" s="200" t="e">
        <f t="shared" si="866"/>
        <v>#VALUE!</v>
      </c>
      <c r="AF769" s="167" t="e" vm="2">
        <f t="shared" si="867"/>
        <v>#VALUE!</v>
      </c>
      <c r="AG769" s="67"/>
    </row>
    <row r="770" spans="1:33">
      <c r="A770" s="134"/>
      <c r="B770" s="245" t="s">
        <v>1371</v>
      </c>
      <c r="C770" s="245" t="s">
        <v>1362</v>
      </c>
      <c r="D770" s="246" t="e" vm="1">
        <f>35*[2]Setup!$F$49</f>
        <v>#VALUE!</v>
      </c>
      <c r="E770" s="246">
        <v>890</v>
      </c>
      <c r="F770" s="246" t="e" vm="2">
        <f t="shared" si="861"/>
        <v>#VALUE!</v>
      </c>
      <c r="G770" s="909"/>
      <c r="H770" s="899"/>
      <c r="I770" s="151"/>
      <c r="J770" s="151"/>
      <c r="K770" s="151"/>
      <c r="L770" s="111"/>
      <c r="M770" s="111"/>
      <c r="N770" s="111"/>
      <c r="O770" s="111"/>
      <c r="P770" s="111"/>
      <c r="Q770" s="111"/>
      <c r="R770" s="111"/>
      <c r="S770" s="712"/>
      <c r="T770" s="169" t="e">
        <f>'[2]AUN Budget'!#REF!</f>
        <v>#REF!</v>
      </c>
      <c r="U770" s="169" t="e">
        <f>'[2]AUN Budget'!#REF!</f>
        <v>#REF!</v>
      </c>
      <c r="V770" s="121" t="s">
        <v>848</v>
      </c>
      <c r="W770" s="164" t="s">
        <v>947</v>
      </c>
      <c r="X770" s="170">
        <f>'Assumptions TRC_AUN'!$E$33</f>
        <v>3334</v>
      </c>
      <c r="Y770" s="200" t="e">
        <f t="shared" si="862"/>
        <v>#VALUE!</v>
      </c>
      <c r="Z770" s="167" t="e" vm="2">
        <f t="shared" si="863"/>
        <v>#VALUE!</v>
      </c>
      <c r="AA770" s="170">
        <f>'Assumptions TRC_AUN'!$E$33</f>
        <v>3334</v>
      </c>
      <c r="AB770" s="200" t="e">
        <f t="shared" si="864"/>
        <v>#VALUE!</v>
      </c>
      <c r="AC770" s="167" t="e" vm="2">
        <f t="shared" si="865"/>
        <v>#VALUE!</v>
      </c>
      <c r="AD770" s="170">
        <f>'Assumptions TRC_AUN'!$E$33</f>
        <v>3334</v>
      </c>
      <c r="AE770" s="200" t="e">
        <f t="shared" si="866"/>
        <v>#VALUE!</v>
      </c>
      <c r="AF770" s="167" t="e" vm="2">
        <f t="shared" si="867"/>
        <v>#VALUE!</v>
      </c>
      <c r="AG770" s="67"/>
    </row>
    <row r="771" spans="1:33">
      <c r="A771" s="134"/>
      <c r="B771" s="245" t="s">
        <v>1372</v>
      </c>
      <c r="C771" s="245" t="s">
        <v>1362</v>
      </c>
      <c r="D771" s="246" t="e" vm="1">
        <f>35*[2]Setup!$F$49</f>
        <v>#VALUE!</v>
      </c>
      <c r="E771" s="246">
        <v>890</v>
      </c>
      <c r="F771" s="246" t="e" vm="2">
        <f t="shared" si="861"/>
        <v>#VALUE!</v>
      </c>
      <c r="G771" s="909"/>
      <c r="H771" s="899"/>
      <c r="I771" s="151"/>
      <c r="J771" s="151"/>
      <c r="K771" s="151"/>
      <c r="L771" s="111"/>
      <c r="M771" s="111"/>
      <c r="N771" s="111"/>
      <c r="O771" s="111"/>
      <c r="P771" s="111"/>
      <c r="Q771" s="111"/>
      <c r="R771" s="111"/>
      <c r="S771" s="712"/>
      <c r="T771" s="169" t="e">
        <f>'[2]AUN Budget'!#REF!</f>
        <v>#REF!</v>
      </c>
      <c r="U771" s="169" t="e">
        <f>'[2]AUN Budget'!#REF!</f>
        <v>#REF!</v>
      </c>
      <c r="V771" s="121" t="s">
        <v>848</v>
      </c>
      <c r="W771" s="164" t="s">
        <v>947</v>
      </c>
      <c r="X771" s="170">
        <f>'Assumptions TRC_AUN'!$E$33</f>
        <v>3334</v>
      </c>
      <c r="Y771" s="200" t="e">
        <f t="shared" si="862"/>
        <v>#VALUE!</v>
      </c>
      <c r="Z771" s="167" t="e" vm="2">
        <f t="shared" si="863"/>
        <v>#VALUE!</v>
      </c>
      <c r="AA771" s="170">
        <f>'Assumptions TRC_AUN'!$E$33</f>
        <v>3334</v>
      </c>
      <c r="AB771" s="200" t="e">
        <f t="shared" si="864"/>
        <v>#VALUE!</v>
      </c>
      <c r="AC771" s="167" t="e" vm="2">
        <f t="shared" si="865"/>
        <v>#VALUE!</v>
      </c>
      <c r="AD771" s="170">
        <f>'Assumptions TRC_AUN'!$E$33</f>
        <v>3334</v>
      </c>
      <c r="AE771" s="200" t="e">
        <f t="shared" si="866"/>
        <v>#VALUE!</v>
      </c>
      <c r="AF771" s="167" t="e" vm="2">
        <f t="shared" si="867"/>
        <v>#VALUE!</v>
      </c>
      <c r="AG771" s="67"/>
    </row>
    <row r="772" spans="1:33">
      <c r="A772" s="134"/>
      <c r="B772" s="245" t="s">
        <v>1373</v>
      </c>
      <c r="C772" s="245" t="s">
        <v>1362</v>
      </c>
      <c r="D772" s="246" t="e" vm="1">
        <f>35*[2]Setup!$F$49</f>
        <v>#VALUE!</v>
      </c>
      <c r="E772" s="246">
        <v>890</v>
      </c>
      <c r="F772" s="246" t="e" vm="2">
        <f t="shared" si="861"/>
        <v>#VALUE!</v>
      </c>
      <c r="G772" s="909"/>
      <c r="H772" s="899"/>
      <c r="I772" s="151"/>
      <c r="J772" s="151"/>
      <c r="K772" s="151"/>
      <c r="L772" s="111"/>
      <c r="M772" s="111"/>
      <c r="N772" s="111"/>
      <c r="O772" s="111"/>
      <c r="P772" s="111"/>
      <c r="Q772" s="111"/>
      <c r="R772" s="111"/>
      <c r="S772" s="712"/>
      <c r="T772" s="169" t="e">
        <f>'[2]AUN Budget'!#REF!</f>
        <v>#REF!</v>
      </c>
      <c r="U772" s="169" t="e">
        <f>'[2]AUN Budget'!#REF!</f>
        <v>#REF!</v>
      </c>
      <c r="V772" s="121" t="s">
        <v>848</v>
      </c>
      <c r="W772" s="164" t="s">
        <v>947</v>
      </c>
      <c r="X772" s="170">
        <f>'Assumptions TRC_AUN'!$E$33</f>
        <v>3334</v>
      </c>
      <c r="Y772" s="200" t="e">
        <f t="shared" si="862"/>
        <v>#VALUE!</v>
      </c>
      <c r="Z772" s="167" t="e" vm="2">
        <f t="shared" si="863"/>
        <v>#VALUE!</v>
      </c>
      <c r="AA772" s="170">
        <f>'Assumptions TRC_AUN'!$E$33</f>
        <v>3334</v>
      </c>
      <c r="AB772" s="200" t="e">
        <f t="shared" si="864"/>
        <v>#VALUE!</v>
      </c>
      <c r="AC772" s="167" t="e" vm="2">
        <f t="shared" si="865"/>
        <v>#VALUE!</v>
      </c>
      <c r="AD772" s="170">
        <f>'Assumptions TRC_AUN'!$E$33</f>
        <v>3334</v>
      </c>
      <c r="AE772" s="200" t="e">
        <f t="shared" si="866"/>
        <v>#VALUE!</v>
      </c>
      <c r="AF772" s="167" t="e" vm="2">
        <f t="shared" si="867"/>
        <v>#VALUE!</v>
      </c>
      <c r="AG772" s="67"/>
    </row>
    <row r="773" spans="1:33">
      <c r="A773" s="134"/>
      <c r="B773" s="245"/>
      <c r="C773" s="245"/>
      <c r="D773" s="245"/>
      <c r="E773" s="245"/>
      <c r="F773" s="245"/>
      <c r="G773" s="909"/>
      <c r="H773" s="899"/>
      <c r="I773" s="151"/>
      <c r="J773" s="151"/>
      <c r="K773" s="151"/>
      <c r="L773" s="111"/>
      <c r="M773" s="111"/>
      <c r="N773" s="111"/>
      <c r="O773" s="111"/>
      <c r="P773" s="111"/>
      <c r="Q773" s="111"/>
      <c r="R773" s="111"/>
      <c r="S773" s="712"/>
      <c r="T773" s="111"/>
      <c r="U773" s="111"/>
      <c r="V773" s="111"/>
      <c r="W773" s="111"/>
      <c r="X773" s="132"/>
      <c r="Y773" s="111"/>
      <c r="Z773" s="111"/>
      <c r="AA773" s="111"/>
      <c r="AB773" s="111"/>
      <c r="AC773" s="111"/>
      <c r="AD773" s="111"/>
      <c r="AE773" s="111"/>
      <c r="AF773" s="111"/>
      <c r="AG773" s="67"/>
    </row>
    <row r="774" spans="1:33">
      <c r="A774" s="134"/>
      <c r="B774" s="247" t="s">
        <v>1374</v>
      </c>
      <c r="C774" s="247"/>
      <c r="D774" s="247"/>
      <c r="E774" s="247"/>
      <c r="F774" s="248" t="e" vm="2">
        <f>SUM(F762:F772)</f>
        <v>#VALUE!</v>
      </c>
      <c r="G774" s="910"/>
      <c r="H774" s="911"/>
      <c r="I774" s="151"/>
      <c r="J774" s="151"/>
      <c r="K774" s="151"/>
      <c r="L774" s="111"/>
      <c r="M774" s="111"/>
      <c r="N774" s="111"/>
      <c r="O774" s="111"/>
      <c r="P774" s="111"/>
      <c r="Q774" s="111"/>
      <c r="R774" s="111"/>
      <c r="S774" s="712"/>
      <c r="T774" s="111"/>
      <c r="U774" s="111"/>
      <c r="V774" s="111"/>
      <c r="W774" s="111"/>
      <c r="X774" s="132"/>
      <c r="Y774" s="111"/>
      <c r="Z774" s="111"/>
      <c r="AA774" s="111"/>
      <c r="AB774" s="111"/>
      <c r="AC774" s="111"/>
      <c r="AD774" s="111"/>
      <c r="AE774" s="111"/>
      <c r="AF774" s="111"/>
      <c r="AG774" s="67"/>
    </row>
    <row r="775" spans="1:33">
      <c r="A775" s="9"/>
      <c r="B775" s="249"/>
      <c r="C775" s="249"/>
      <c r="D775" s="249"/>
      <c r="E775" s="249"/>
      <c r="F775" s="249"/>
      <c r="G775" s="249"/>
      <c r="H775" s="249"/>
      <c r="I775" s="151"/>
      <c r="J775" s="151"/>
      <c r="K775" s="151"/>
      <c r="L775" s="111"/>
      <c r="M775" s="111"/>
      <c r="N775" s="111"/>
      <c r="O775" s="111"/>
      <c r="P775" s="111"/>
      <c r="Q775" s="111"/>
      <c r="R775" s="111"/>
      <c r="S775" s="712"/>
      <c r="T775" s="111"/>
      <c r="U775" s="111"/>
      <c r="V775" s="111"/>
      <c r="W775" s="111"/>
      <c r="X775" s="132"/>
      <c r="Y775" s="111"/>
      <c r="Z775" s="111"/>
      <c r="AA775" s="111"/>
      <c r="AB775" s="111"/>
      <c r="AC775" s="111"/>
      <c r="AD775" s="111"/>
      <c r="AE775" s="111"/>
      <c r="AF775" s="111"/>
      <c r="AG775" s="67"/>
    </row>
    <row r="776" spans="1:33">
      <c r="A776" s="134"/>
      <c r="B776" s="906" t="s">
        <v>1375</v>
      </c>
      <c r="C776" s="895"/>
      <c r="D776" s="895"/>
      <c r="E776" s="895"/>
      <c r="F776" s="895"/>
      <c r="G776" s="895"/>
      <c r="H776" s="896"/>
      <c r="I776" s="151"/>
      <c r="J776" s="151"/>
      <c r="K776" s="151"/>
      <c r="L776" s="111"/>
      <c r="M776" s="111"/>
      <c r="N776" s="111"/>
      <c r="O776" s="111"/>
      <c r="P776" s="111"/>
      <c r="Q776" s="111"/>
      <c r="R776" s="111"/>
      <c r="S776" s="712"/>
      <c r="T776" s="111"/>
      <c r="U776" s="111"/>
      <c r="V776" s="111"/>
      <c r="W776" s="111"/>
      <c r="X776" s="132"/>
      <c r="Y776" s="111"/>
      <c r="Z776" s="111"/>
      <c r="AA776" s="111"/>
      <c r="AB776" s="111"/>
      <c r="AC776" s="111"/>
      <c r="AD776" s="111"/>
      <c r="AE776" s="111"/>
      <c r="AF776" s="111"/>
      <c r="AG776" s="67"/>
    </row>
    <row r="777" spans="1:33">
      <c r="A777" s="134"/>
      <c r="B777" s="143" t="s">
        <v>966</v>
      </c>
      <c r="C777" s="143" t="s">
        <v>1376</v>
      </c>
      <c r="D777" s="113" t="s">
        <v>1348</v>
      </c>
      <c r="E777" s="143" t="s">
        <v>759</v>
      </c>
      <c r="F777" s="143" t="s">
        <v>1349</v>
      </c>
      <c r="G777" s="905" t="s">
        <v>1350</v>
      </c>
      <c r="H777" s="896"/>
      <c r="I777" s="151"/>
      <c r="J777" s="151"/>
      <c r="K777" s="151"/>
      <c r="L777" s="111"/>
      <c r="M777" s="111"/>
      <c r="N777" s="111"/>
      <c r="O777" s="111"/>
      <c r="P777" s="111"/>
      <c r="Q777" s="111"/>
      <c r="R777" s="111"/>
      <c r="S777" s="712"/>
      <c r="T777" s="159" t="s">
        <v>387</v>
      </c>
      <c r="U777" s="159" t="s">
        <v>388</v>
      </c>
      <c r="V777" s="159" t="s">
        <v>934</v>
      </c>
      <c r="W777" s="160" t="s">
        <v>935</v>
      </c>
      <c r="X777" s="161" t="s">
        <v>936</v>
      </c>
      <c r="Y777" s="162" t="s">
        <v>937</v>
      </c>
      <c r="Z777" s="161" t="s">
        <v>938</v>
      </c>
      <c r="AA777" s="161" t="s">
        <v>939</v>
      </c>
      <c r="AB777" s="162" t="s">
        <v>940</v>
      </c>
      <c r="AC777" s="161" t="s">
        <v>941</v>
      </c>
      <c r="AD777" s="161" t="s">
        <v>942</v>
      </c>
      <c r="AE777" s="162" t="s">
        <v>943</v>
      </c>
      <c r="AF777" s="161" t="s">
        <v>944</v>
      </c>
      <c r="AG777" s="67"/>
    </row>
    <row r="778" spans="1:33">
      <c r="A778" s="134"/>
      <c r="B778" s="245" t="s">
        <v>1377</v>
      </c>
      <c r="C778" s="245" t="s">
        <v>1182</v>
      </c>
      <c r="D778" s="246" t="e" vm="1">
        <f>5000*[2]Setup!$F$49</f>
        <v>#VALUE!</v>
      </c>
      <c r="E778" s="245">
        <v>6</v>
      </c>
      <c r="F778" s="248" t="e" vm="2">
        <f>D778*E778</f>
        <v>#VALUE!</v>
      </c>
      <c r="G778" s="915"/>
      <c r="H778" s="896"/>
      <c r="I778" s="151"/>
      <c r="J778" s="151"/>
      <c r="K778" s="151"/>
      <c r="L778" s="111"/>
      <c r="M778" s="111"/>
      <c r="N778" s="111"/>
      <c r="O778" s="111"/>
      <c r="P778" s="111"/>
      <c r="Q778" s="111"/>
      <c r="R778" s="111"/>
      <c r="S778" s="712"/>
      <c r="T778" s="169" t="e">
        <f>'[2]AUN Budget'!#REF!</f>
        <v>#REF!</v>
      </c>
      <c r="U778" s="169" t="e">
        <f>'[2]AUN Budget'!#REF!</f>
        <v>#REF!</v>
      </c>
      <c r="V778" s="121" t="s">
        <v>848</v>
      </c>
      <c r="W778" s="164" t="s">
        <v>947</v>
      </c>
      <c r="X778" s="170">
        <f>'Assumptions TRC_AUN'!$E$33</f>
        <v>3334</v>
      </c>
      <c r="Y778" s="200" t="e">
        <f>Z778/X778</f>
        <v>#VALUE!</v>
      </c>
      <c r="Z778" s="167" t="e" vm="2">
        <f>F778</f>
        <v>#VALUE!</v>
      </c>
      <c r="AA778" s="164"/>
      <c r="AB778" s="200"/>
      <c r="AC778" s="167"/>
      <c r="AD778" s="164"/>
      <c r="AE778" s="200"/>
      <c r="AF778" s="167"/>
      <c r="AG778" s="67"/>
    </row>
    <row r="779" spans="1:33">
      <c r="A779" s="9"/>
      <c r="B779" s="249"/>
      <c r="C779" s="249"/>
      <c r="D779" s="249"/>
      <c r="E779" s="250"/>
      <c r="F779" s="250"/>
      <c r="G779" s="249"/>
      <c r="H779" s="249"/>
      <c r="I779" s="151"/>
      <c r="J779" s="151"/>
      <c r="K779" s="151"/>
      <c r="L779" s="111"/>
      <c r="M779" s="111"/>
      <c r="N779" s="111"/>
      <c r="O779" s="111"/>
      <c r="P779" s="111"/>
      <c r="Q779" s="111"/>
      <c r="R779" s="111"/>
      <c r="S779" s="712"/>
      <c r="T779" s="111"/>
      <c r="U779" s="111"/>
      <c r="V779" s="111"/>
      <c r="W779" s="111"/>
      <c r="X779" s="132"/>
      <c r="Y779" s="111"/>
      <c r="Z779" s="111"/>
      <c r="AA779" s="111"/>
      <c r="AB779" s="111"/>
      <c r="AC779" s="111"/>
      <c r="AD779" s="111"/>
      <c r="AE779" s="111"/>
      <c r="AF779" s="111"/>
      <c r="AG779" s="67"/>
    </row>
    <row r="780" spans="1:33">
      <c r="A780" s="134"/>
      <c r="B780" s="906" t="s">
        <v>1378</v>
      </c>
      <c r="C780" s="895"/>
      <c r="D780" s="895"/>
      <c r="E780" s="895"/>
      <c r="F780" s="895"/>
      <c r="G780" s="895"/>
      <c r="H780" s="896"/>
      <c r="I780" s="151"/>
      <c r="J780" s="151"/>
      <c r="K780" s="151"/>
      <c r="L780" s="111"/>
      <c r="M780" s="111"/>
      <c r="N780" s="111"/>
      <c r="O780" s="111"/>
      <c r="P780" s="111"/>
      <c r="Q780" s="111"/>
      <c r="R780" s="111"/>
      <c r="S780" s="712"/>
      <c r="T780" s="111"/>
      <c r="U780" s="111"/>
      <c r="V780" s="111"/>
      <c r="W780" s="111"/>
      <c r="X780" s="132"/>
      <c r="Y780" s="111"/>
      <c r="Z780" s="111"/>
      <c r="AA780" s="111"/>
      <c r="AB780" s="111"/>
      <c r="AC780" s="111"/>
      <c r="AD780" s="111"/>
      <c r="AE780" s="111"/>
      <c r="AF780" s="111"/>
      <c r="AG780" s="67"/>
    </row>
    <row r="781" spans="1:33">
      <c r="A781" s="134"/>
      <c r="B781" s="113" t="s">
        <v>756</v>
      </c>
      <c r="C781" s="113" t="s">
        <v>697</v>
      </c>
      <c r="D781" s="113" t="s">
        <v>1348</v>
      </c>
      <c r="E781" s="143" t="s">
        <v>759</v>
      </c>
      <c r="F781" s="113" t="s">
        <v>786</v>
      </c>
      <c r="G781" s="113" t="s">
        <v>787</v>
      </c>
      <c r="H781" s="251" t="s">
        <v>1379</v>
      </c>
      <c r="I781" s="151"/>
      <c r="J781" s="151"/>
      <c r="K781" s="151"/>
      <c r="L781" s="111"/>
      <c r="M781" s="111"/>
      <c r="N781" s="111"/>
      <c r="O781" s="111"/>
      <c r="P781" s="111"/>
      <c r="Q781" s="111"/>
      <c r="R781" s="111"/>
      <c r="S781" s="712"/>
      <c r="T781" s="159" t="s">
        <v>387</v>
      </c>
      <c r="U781" s="159" t="s">
        <v>388</v>
      </c>
      <c r="V781" s="159" t="s">
        <v>934</v>
      </c>
      <c r="W781" s="160" t="s">
        <v>935</v>
      </c>
      <c r="X781" s="161" t="s">
        <v>936</v>
      </c>
      <c r="Y781" s="162" t="s">
        <v>937</v>
      </c>
      <c r="Z781" s="161" t="s">
        <v>938</v>
      </c>
      <c r="AA781" s="161" t="s">
        <v>939</v>
      </c>
      <c r="AB781" s="162" t="s">
        <v>940</v>
      </c>
      <c r="AC781" s="161" t="s">
        <v>941</v>
      </c>
      <c r="AD781" s="161" t="s">
        <v>942</v>
      </c>
      <c r="AE781" s="162" t="s">
        <v>943</v>
      </c>
      <c r="AF781" s="161" t="s">
        <v>944</v>
      </c>
      <c r="AG781" s="67"/>
    </row>
    <row r="782" spans="1:33">
      <c r="A782" s="134"/>
      <c r="B782" s="174" t="s">
        <v>728</v>
      </c>
      <c r="C782" s="121" t="s">
        <v>788</v>
      </c>
      <c r="D782" s="246">
        <f>'Assumptions TRC_AUN'!I211</f>
        <v>51565</v>
      </c>
      <c r="E782" s="252">
        <v>2</v>
      </c>
      <c r="F782" s="252">
        <v>5</v>
      </c>
      <c r="G782" s="252" t="s">
        <v>789</v>
      </c>
      <c r="H782" s="253">
        <f>D782*E782*F782</f>
        <v>515650</v>
      </c>
      <c r="I782" s="912" t="s">
        <v>1380</v>
      </c>
      <c r="J782" s="913"/>
      <c r="K782" s="913"/>
      <c r="L782" s="913"/>
      <c r="M782" s="913"/>
      <c r="N782" s="111"/>
      <c r="O782" s="111"/>
      <c r="P782" s="111"/>
      <c r="Q782" s="111"/>
      <c r="R782" s="111"/>
      <c r="S782" s="712"/>
      <c r="T782" s="169" t="e">
        <f>'[2]AUN Budget'!#REF!</f>
        <v>#REF!</v>
      </c>
      <c r="U782" s="169" t="e">
        <f>'[2]AUN Budget'!#REF!</f>
        <v>#REF!</v>
      </c>
      <c r="V782" s="121" t="s">
        <v>813</v>
      </c>
      <c r="W782" s="121" t="s">
        <v>1094</v>
      </c>
      <c r="X782" s="170">
        <f>'Assumptions TRC_AUN'!$I$212</f>
        <v>10313</v>
      </c>
      <c r="Y782" s="200">
        <f>'Assumptions TRC_AUN'!$I$213*5</f>
        <v>25</v>
      </c>
      <c r="Z782" s="167">
        <f>X782*Y782</f>
        <v>257825</v>
      </c>
      <c r="AA782" s="170">
        <f>'Assumptions TRC_AUN'!$I$212</f>
        <v>10313</v>
      </c>
      <c r="AB782" s="200">
        <f>'Assumptions TRC_AUN'!$I$213*5</f>
        <v>25</v>
      </c>
      <c r="AC782" s="167">
        <f>AA782*AB782</f>
        <v>257825</v>
      </c>
      <c r="AD782" s="164"/>
      <c r="AE782" s="200"/>
      <c r="AF782" s="167"/>
      <c r="AG782" s="67"/>
    </row>
    <row r="783" spans="1:33">
      <c r="A783" s="134"/>
      <c r="B783" s="254" t="s">
        <v>1381</v>
      </c>
      <c r="C783" s="254"/>
      <c r="D783" s="254"/>
      <c r="E783" s="245"/>
      <c r="F783" s="245"/>
      <c r="G783" s="254"/>
      <c r="H783" s="255">
        <f>SUM(H782)</f>
        <v>515650</v>
      </c>
      <c r="I783" s="151"/>
      <c r="J783" s="151"/>
      <c r="K783" s="151"/>
      <c r="L783" s="111"/>
      <c r="M783" s="111"/>
      <c r="N783" s="111"/>
      <c r="O783" s="111"/>
      <c r="P783" s="111"/>
      <c r="Q783" s="111"/>
      <c r="R783" s="111"/>
      <c r="S783" s="712"/>
      <c r="T783" s="111"/>
      <c r="U783" s="111"/>
      <c r="V783" s="111"/>
      <c r="W783" s="111"/>
      <c r="X783" s="132"/>
      <c r="Y783" s="111"/>
      <c r="Z783" s="111"/>
      <c r="AA783" s="111"/>
      <c r="AB783" s="111"/>
      <c r="AC783" s="111"/>
      <c r="AD783" s="111"/>
      <c r="AE783" s="111"/>
      <c r="AF783" s="111"/>
      <c r="AG783" s="67"/>
    </row>
    <row r="784" spans="1:33">
      <c r="A784" s="9"/>
      <c r="B784" s="249"/>
      <c r="C784" s="249"/>
      <c r="D784" s="249"/>
      <c r="E784" s="249"/>
      <c r="F784" s="249"/>
      <c r="G784" s="249"/>
      <c r="H784" s="249"/>
      <c r="I784" s="151"/>
      <c r="J784" s="151"/>
      <c r="K784" s="151"/>
      <c r="L784" s="111"/>
      <c r="M784" s="111"/>
      <c r="N784" s="111"/>
      <c r="O784" s="111"/>
      <c r="P784" s="111"/>
      <c r="Q784" s="111"/>
      <c r="R784" s="111"/>
      <c r="S784" s="712"/>
      <c r="T784" s="111"/>
      <c r="U784" s="111"/>
      <c r="V784" s="111"/>
      <c r="W784" s="111"/>
      <c r="X784" s="132"/>
      <c r="Y784" s="111"/>
      <c r="Z784" s="111"/>
      <c r="AA784" s="111"/>
      <c r="AB784" s="111"/>
      <c r="AC784" s="111"/>
      <c r="AD784" s="111"/>
      <c r="AE784" s="111"/>
      <c r="AF784" s="111"/>
      <c r="AG784" s="67"/>
    </row>
    <row r="785" spans="1:33">
      <c r="A785" s="134"/>
      <c r="B785" s="906" t="s">
        <v>1382</v>
      </c>
      <c r="C785" s="895"/>
      <c r="D785" s="895"/>
      <c r="E785" s="895"/>
      <c r="F785" s="895"/>
      <c r="G785" s="896"/>
      <c r="H785" s="256" t="e">
        <f>F758+F774+F778+H783</f>
        <v>#VALUE!</v>
      </c>
      <c r="I785" s="151"/>
      <c r="J785" s="151"/>
      <c r="K785" s="151"/>
      <c r="L785" s="111"/>
      <c r="M785" s="111"/>
      <c r="N785" s="111"/>
      <c r="O785" s="111"/>
      <c r="P785" s="111"/>
      <c r="Q785" s="111"/>
      <c r="R785" s="111"/>
      <c r="S785" s="712"/>
      <c r="T785" s="111"/>
      <c r="U785" s="111"/>
      <c r="V785" s="111"/>
      <c r="W785" s="111"/>
      <c r="X785" s="132"/>
      <c r="Y785" s="111"/>
      <c r="Z785" s="132"/>
      <c r="AA785" s="111"/>
      <c r="AB785" s="111"/>
      <c r="AC785" s="132"/>
      <c r="AD785" s="111"/>
      <c r="AE785" s="111"/>
      <c r="AF785" s="132"/>
      <c r="AG785" s="67"/>
    </row>
    <row r="786" spans="1:33">
      <c r="A786" s="9"/>
      <c r="B786" s="111"/>
      <c r="C786" s="111"/>
      <c r="D786" s="111"/>
      <c r="E786" s="111"/>
      <c r="F786" s="111"/>
      <c r="G786" s="111"/>
      <c r="H786" s="151" t="e" vm="1">
        <f>H755/[2]Setup!F49</f>
        <v>#VALUE!</v>
      </c>
      <c r="I786" s="151"/>
      <c r="J786" s="151"/>
      <c r="K786" s="151"/>
      <c r="L786" s="111"/>
      <c r="M786" s="111"/>
      <c r="N786" s="111"/>
      <c r="O786" s="111"/>
      <c r="P786" s="111"/>
      <c r="Q786" s="111"/>
      <c r="R786" s="111"/>
      <c r="S786" s="712"/>
      <c r="T786" s="111"/>
      <c r="U786" s="111"/>
      <c r="V786" s="111"/>
      <c r="W786" s="111"/>
      <c r="X786" s="132"/>
      <c r="Y786" s="111"/>
      <c r="Z786" s="111"/>
      <c r="AA786" s="111"/>
      <c r="AB786" s="111"/>
      <c r="AC786" s="111"/>
      <c r="AD786" s="111"/>
      <c r="AE786" s="111"/>
      <c r="AF786" s="111"/>
      <c r="AG786" s="67"/>
    </row>
    <row r="787" spans="1:33">
      <c r="A787" s="9"/>
      <c r="B787" s="111"/>
      <c r="C787" s="111"/>
      <c r="D787" s="111"/>
      <c r="E787" s="111"/>
      <c r="F787" s="111"/>
      <c r="G787" s="111"/>
      <c r="H787" s="151"/>
      <c r="I787" s="151"/>
      <c r="J787" s="151"/>
      <c r="K787" s="151"/>
      <c r="L787" s="111"/>
      <c r="M787" s="111"/>
      <c r="N787" s="111"/>
      <c r="O787" s="111"/>
      <c r="P787" s="111"/>
      <c r="Q787" s="111"/>
      <c r="R787" s="111"/>
      <c r="S787" s="712"/>
      <c r="T787" s="111"/>
      <c r="U787" s="111"/>
      <c r="V787" s="111"/>
      <c r="W787" s="111"/>
      <c r="X787" s="132"/>
      <c r="Y787" s="111"/>
      <c r="Z787" s="111"/>
      <c r="AA787" s="111"/>
      <c r="AB787" s="111"/>
      <c r="AC787" s="111"/>
      <c r="AD787" s="111"/>
      <c r="AE787" s="111"/>
      <c r="AF787" s="111"/>
      <c r="AG787" s="67"/>
    </row>
    <row r="788" spans="1:33">
      <c r="A788" s="9"/>
      <c r="B788" s="111"/>
      <c r="C788" s="111"/>
      <c r="D788" s="111"/>
      <c r="E788" s="111"/>
      <c r="F788" s="111"/>
      <c r="G788" s="111"/>
      <c r="H788" s="151"/>
      <c r="I788" s="151"/>
      <c r="J788" s="151"/>
      <c r="K788" s="151"/>
      <c r="L788" s="111"/>
      <c r="M788" s="111"/>
      <c r="N788" s="111"/>
      <c r="O788" s="111"/>
      <c r="P788" s="111"/>
      <c r="Q788" s="111"/>
      <c r="R788" s="111"/>
      <c r="S788" s="712"/>
      <c r="T788" s="111"/>
      <c r="U788" s="111"/>
      <c r="V788" s="111"/>
      <c r="W788" s="111"/>
      <c r="X788" s="132"/>
      <c r="Y788" s="111"/>
      <c r="Z788" s="111"/>
      <c r="AA788" s="111"/>
      <c r="AB788" s="111"/>
      <c r="AC788" s="111"/>
      <c r="AD788" s="67"/>
      <c r="AE788" s="67"/>
      <c r="AF788" s="67"/>
      <c r="AG788" s="67"/>
    </row>
    <row r="789" spans="1:33">
      <c r="A789" s="725">
        <v>43</v>
      </c>
      <c r="B789" s="726" t="e" vm="1">
        <f>'[2]AUN Budget'!$E$183</f>
        <v>#VALUE!</v>
      </c>
      <c r="C789" s="731"/>
      <c r="D789" s="731"/>
      <c r="E789" s="731"/>
      <c r="F789" s="731"/>
      <c r="G789" s="731"/>
      <c r="H789" s="731"/>
      <c r="I789" s="151"/>
      <c r="J789" s="151"/>
      <c r="K789" s="151"/>
      <c r="L789" s="111"/>
      <c r="M789" s="111"/>
      <c r="N789" s="111"/>
      <c r="O789" s="111"/>
      <c r="P789" s="111"/>
      <c r="Q789" s="111"/>
      <c r="R789" s="111"/>
      <c r="S789" s="712"/>
      <c r="T789" s="111"/>
      <c r="U789" s="111"/>
      <c r="V789" s="111"/>
      <c r="W789" s="111"/>
      <c r="X789" s="132"/>
      <c r="Y789" s="111"/>
      <c r="Z789" s="111"/>
      <c r="AA789" s="111"/>
      <c r="AB789" s="111"/>
      <c r="AC789" s="111"/>
      <c r="AD789" s="67"/>
      <c r="AE789" s="67"/>
      <c r="AF789" s="67"/>
      <c r="AG789" s="67"/>
    </row>
    <row r="790" spans="1:33">
      <c r="A790" s="134"/>
      <c r="B790" s="905" t="s">
        <v>1359</v>
      </c>
      <c r="C790" s="895"/>
      <c r="D790" s="895"/>
      <c r="E790" s="895"/>
      <c r="F790" s="896"/>
      <c r="G790" s="914" t="s">
        <v>1360</v>
      </c>
      <c r="H790" s="896"/>
      <c r="I790" s="151"/>
      <c r="J790" s="151"/>
      <c r="K790" s="151"/>
      <c r="L790" s="111"/>
      <c r="M790" s="111"/>
      <c r="N790" s="111"/>
      <c r="O790" s="111"/>
      <c r="P790" s="111"/>
      <c r="Q790" s="111"/>
      <c r="R790" s="111"/>
      <c r="S790" s="712"/>
      <c r="T790" s="111"/>
      <c r="U790" s="111"/>
      <c r="V790" s="111"/>
      <c r="W790" s="111"/>
      <c r="X790" s="132"/>
      <c r="Y790" s="111"/>
      <c r="Z790" s="111"/>
      <c r="AA790" s="111"/>
      <c r="AB790" s="111"/>
      <c r="AC790" s="111"/>
      <c r="AD790" s="67"/>
      <c r="AE790" s="67"/>
      <c r="AF790" s="67"/>
      <c r="AG790" s="67"/>
    </row>
    <row r="791" spans="1:33">
      <c r="A791" s="134"/>
      <c r="B791" s="113" t="s">
        <v>1347</v>
      </c>
      <c r="C791" s="113" t="s">
        <v>697</v>
      </c>
      <c r="D791" s="113" t="s">
        <v>1348</v>
      </c>
      <c r="E791" s="143" t="s">
        <v>759</v>
      </c>
      <c r="F791" s="143" t="s">
        <v>1349</v>
      </c>
      <c r="G791" s="906" t="s">
        <v>1350</v>
      </c>
      <c r="H791" s="896"/>
      <c r="I791" s="151"/>
      <c r="J791" s="151"/>
      <c r="K791" s="151"/>
      <c r="L791" s="111"/>
      <c r="M791" s="111"/>
      <c r="N791" s="111"/>
      <c r="O791" s="111"/>
      <c r="P791" s="111"/>
      <c r="Q791" s="111"/>
      <c r="R791" s="111"/>
      <c r="S791" s="712"/>
      <c r="T791" s="159" t="s">
        <v>387</v>
      </c>
      <c r="U791" s="159" t="s">
        <v>388</v>
      </c>
      <c r="V791" s="160" t="s">
        <v>934</v>
      </c>
      <c r="W791" s="160" t="s">
        <v>935</v>
      </c>
      <c r="X791" s="161" t="s">
        <v>936</v>
      </c>
      <c r="Y791" s="162" t="s">
        <v>937</v>
      </c>
      <c r="Z791" s="161" t="s">
        <v>938</v>
      </c>
      <c r="AA791" s="159" t="s">
        <v>939</v>
      </c>
      <c r="AB791" s="159" t="s">
        <v>940</v>
      </c>
      <c r="AC791" s="160" t="s">
        <v>941</v>
      </c>
      <c r="AD791" s="67"/>
      <c r="AE791" s="67"/>
      <c r="AF791" s="67"/>
      <c r="AG791" s="67"/>
    </row>
    <row r="792" spans="1:33">
      <c r="A792" s="134"/>
      <c r="B792" s="245" t="s">
        <v>1361</v>
      </c>
      <c r="C792" s="245" t="s">
        <v>1362</v>
      </c>
      <c r="D792" s="246">
        <v>904</v>
      </c>
      <c r="E792" s="246">
        <v>854</v>
      </c>
      <c r="F792" s="246">
        <f t="shared" ref="F792:F801" si="868">D792*E792</f>
        <v>772016</v>
      </c>
      <c r="G792" s="907" t="s">
        <v>1383</v>
      </c>
      <c r="H792" s="908"/>
      <c r="I792" s="151"/>
      <c r="J792" s="151"/>
      <c r="K792" s="151"/>
      <c r="L792" s="111"/>
      <c r="M792" s="111"/>
      <c r="N792" s="111"/>
      <c r="O792" s="111"/>
      <c r="P792" s="111"/>
      <c r="Q792" s="111"/>
      <c r="R792" s="111"/>
      <c r="S792" s="712"/>
      <c r="T792" s="169" t="s">
        <v>946</v>
      </c>
      <c r="U792" s="169" t="s">
        <v>946</v>
      </c>
      <c r="V792" s="121" t="s">
        <v>848</v>
      </c>
      <c r="W792" s="164" t="s">
        <v>947</v>
      </c>
      <c r="X792" s="170">
        <f>'Assumptions TRC_AUN'!$E$33</f>
        <v>3334</v>
      </c>
      <c r="Y792" s="200">
        <f t="shared" ref="Y792:Y801" si="869">Z792/X792</f>
        <v>115.77924415116976</v>
      </c>
      <c r="Z792" s="167">
        <f t="shared" ref="Z792:Z801" si="870">F792/2</f>
        <v>386008</v>
      </c>
      <c r="AA792" s="170">
        <f>'Assumptions TRC_AUN'!$E$33</f>
        <v>3334</v>
      </c>
      <c r="AB792" s="200">
        <f t="shared" ref="AB792:AB801" si="871">AC792/AA792</f>
        <v>115.77924415116976</v>
      </c>
      <c r="AC792" s="167">
        <f t="shared" ref="AC792:AC801" si="872">F792/2</f>
        <v>386008</v>
      </c>
      <c r="AD792" s="67"/>
      <c r="AE792" s="67"/>
      <c r="AF792" s="67"/>
      <c r="AG792" s="67"/>
    </row>
    <row r="793" spans="1:33">
      <c r="A793" s="134"/>
      <c r="B793" s="245" t="s">
        <v>1364</v>
      </c>
      <c r="C793" s="245" t="s">
        <v>1362</v>
      </c>
      <c r="D793" s="246">
        <v>904</v>
      </c>
      <c r="E793" s="246">
        <v>854</v>
      </c>
      <c r="F793" s="246">
        <f t="shared" si="868"/>
        <v>772016</v>
      </c>
      <c r="G793" s="909"/>
      <c r="H793" s="899"/>
      <c r="I793" s="151"/>
      <c r="J793" s="151"/>
      <c r="K793" s="151"/>
      <c r="L793" s="111"/>
      <c r="M793" s="111"/>
      <c r="N793" s="111"/>
      <c r="O793" s="111"/>
      <c r="P793" s="111"/>
      <c r="Q793" s="111"/>
      <c r="R793" s="111"/>
      <c r="S793" s="712"/>
      <c r="T793" s="169" t="s">
        <v>946</v>
      </c>
      <c r="U793" s="169" t="s">
        <v>946</v>
      </c>
      <c r="V793" s="121" t="s">
        <v>848</v>
      </c>
      <c r="W793" s="164" t="s">
        <v>947</v>
      </c>
      <c r="X793" s="170">
        <f>'Assumptions TRC_AUN'!$E$33</f>
        <v>3334</v>
      </c>
      <c r="Y793" s="200">
        <f t="shared" si="869"/>
        <v>115.77924415116976</v>
      </c>
      <c r="Z793" s="167">
        <f t="shared" si="870"/>
        <v>386008</v>
      </c>
      <c r="AA793" s="170">
        <f>'Assumptions TRC_AUN'!$E$33</f>
        <v>3334</v>
      </c>
      <c r="AB793" s="200">
        <f t="shared" si="871"/>
        <v>115.77924415116976</v>
      </c>
      <c r="AC793" s="167">
        <f t="shared" si="872"/>
        <v>386008</v>
      </c>
      <c r="AD793" s="67"/>
      <c r="AE793" s="67"/>
      <c r="AF793" s="67"/>
      <c r="AG793" s="67"/>
    </row>
    <row r="794" spans="1:33">
      <c r="A794" s="134"/>
      <c r="B794" s="245" t="s">
        <v>1365</v>
      </c>
      <c r="C794" s="245" t="s">
        <v>1362</v>
      </c>
      <c r="D794" s="246">
        <v>904</v>
      </c>
      <c r="E794" s="246">
        <v>854</v>
      </c>
      <c r="F794" s="246">
        <f t="shared" si="868"/>
        <v>772016</v>
      </c>
      <c r="G794" s="909"/>
      <c r="H794" s="899"/>
      <c r="I794" s="151"/>
      <c r="J794" s="151"/>
      <c r="K794" s="151"/>
      <c r="L794" s="111"/>
      <c r="M794" s="111"/>
      <c r="N794" s="111"/>
      <c r="O794" s="111"/>
      <c r="P794" s="111"/>
      <c r="Q794" s="111"/>
      <c r="R794" s="111"/>
      <c r="S794" s="712"/>
      <c r="T794" s="169" t="s">
        <v>946</v>
      </c>
      <c r="U794" s="169" t="s">
        <v>946</v>
      </c>
      <c r="V794" s="121" t="s">
        <v>848</v>
      </c>
      <c r="W794" s="164" t="s">
        <v>947</v>
      </c>
      <c r="X794" s="170">
        <f>'Assumptions TRC_AUN'!$E$33</f>
        <v>3334</v>
      </c>
      <c r="Y794" s="200">
        <f t="shared" si="869"/>
        <v>115.77924415116976</v>
      </c>
      <c r="Z794" s="167">
        <f t="shared" si="870"/>
        <v>386008</v>
      </c>
      <c r="AA794" s="170">
        <f>'Assumptions TRC_AUN'!$E$33</f>
        <v>3334</v>
      </c>
      <c r="AB794" s="200">
        <f t="shared" si="871"/>
        <v>115.77924415116976</v>
      </c>
      <c r="AC794" s="167">
        <f t="shared" si="872"/>
        <v>386008</v>
      </c>
      <c r="AD794" s="111"/>
      <c r="AE794" s="111"/>
      <c r="AF794" s="111"/>
      <c r="AG794" s="67"/>
    </row>
    <row r="795" spans="1:33">
      <c r="A795" s="134"/>
      <c r="B795" s="245" t="s">
        <v>1366</v>
      </c>
      <c r="C795" s="245" t="s">
        <v>1362</v>
      </c>
      <c r="D795" s="246">
        <v>904</v>
      </c>
      <c r="E795" s="246">
        <v>854</v>
      </c>
      <c r="F795" s="246">
        <f t="shared" si="868"/>
        <v>772016</v>
      </c>
      <c r="G795" s="909"/>
      <c r="H795" s="899"/>
      <c r="I795" s="151"/>
      <c r="J795" s="151"/>
      <c r="K795" s="151"/>
      <c r="L795" s="111"/>
      <c r="M795" s="111"/>
      <c r="N795" s="111"/>
      <c r="O795" s="111"/>
      <c r="P795" s="111"/>
      <c r="Q795" s="111"/>
      <c r="R795" s="111"/>
      <c r="S795" s="712"/>
      <c r="T795" s="169" t="s">
        <v>946</v>
      </c>
      <c r="U795" s="169" t="s">
        <v>946</v>
      </c>
      <c r="V795" s="121" t="s">
        <v>848</v>
      </c>
      <c r="W795" s="164" t="s">
        <v>947</v>
      </c>
      <c r="X795" s="170">
        <f>'Assumptions TRC_AUN'!$E$33</f>
        <v>3334</v>
      </c>
      <c r="Y795" s="200">
        <f t="shared" si="869"/>
        <v>115.77924415116976</v>
      </c>
      <c r="Z795" s="167">
        <f t="shared" si="870"/>
        <v>386008</v>
      </c>
      <c r="AA795" s="170">
        <f>'Assumptions TRC_AUN'!$E$33</f>
        <v>3334</v>
      </c>
      <c r="AB795" s="200">
        <f t="shared" si="871"/>
        <v>115.77924415116976</v>
      </c>
      <c r="AC795" s="167">
        <f t="shared" si="872"/>
        <v>386008</v>
      </c>
      <c r="AD795" s="111"/>
      <c r="AE795" s="111"/>
      <c r="AF795" s="111"/>
      <c r="AG795" s="67"/>
    </row>
    <row r="796" spans="1:33">
      <c r="A796" s="134"/>
      <c r="B796" s="245" t="s">
        <v>1367</v>
      </c>
      <c r="C796" s="245" t="s">
        <v>1362</v>
      </c>
      <c r="D796" s="246">
        <v>904</v>
      </c>
      <c r="E796" s="246">
        <v>854</v>
      </c>
      <c r="F796" s="246">
        <f t="shared" si="868"/>
        <v>772016</v>
      </c>
      <c r="G796" s="909"/>
      <c r="H796" s="899"/>
      <c r="I796" s="151"/>
      <c r="J796" s="151"/>
      <c r="K796" s="151"/>
      <c r="L796" s="111"/>
      <c r="M796" s="111"/>
      <c r="N796" s="111"/>
      <c r="O796" s="111"/>
      <c r="P796" s="111"/>
      <c r="Q796" s="111"/>
      <c r="R796" s="111"/>
      <c r="S796" s="712"/>
      <c r="T796" s="169" t="s">
        <v>946</v>
      </c>
      <c r="U796" s="169" t="s">
        <v>946</v>
      </c>
      <c r="V796" s="121" t="s">
        <v>848</v>
      </c>
      <c r="W796" s="164" t="s">
        <v>947</v>
      </c>
      <c r="X796" s="170">
        <f>'Assumptions TRC_AUN'!$E$33</f>
        <v>3334</v>
      </c>
      <c r="Y796" s="200">
        <f t="shared" si="869"/>
        <v>115.77924415116976</v>
      </c>
      <c r="Z796" s="167">
        <f t="shared" si="870"/>
        <v>386008</v>
      </c>
      <c r="AA796" s="170">
        <f>'Assumptions TRC_AUN'!$E$33</f>
        <v>3334</v>
      </c>
      <c r="AB796" s="200">
        <f t="shared" si="871"/>
        <v>115.77924415116976</v>
      </c>
      <c r="AC796" s="167">
        <f t="shared" si="872"/>
        <v>386008</v>
      </c>
      <c r="AD796" s="111"/>
      <c r="AE796" s="111"/>
      <c r="AF796" s="111"/>
      <c r="AG796" s="67"/>
    </row>
    <row r="797" spans="1:33">
      <c r="A797" s="134"/>
      <c r="B797" s="245" t="s">
        <v>1368</v>
      </c>
      <c r="C797" s="245" t="s">
        <v>1362</v>
      </c>
      <c r="D797" s="246">
        <v>904</v>
      </c>
      <c r="E797" s="246">
        <v>854</v>
      </c>
      <c r="F797" s="246">
        <f t="shared" si="868"/>
        <v>772016</v>
      </c>
      <c r="G797" s="909"/>
      <c r="H797" s="899"/>
      <c r="I797" s="151"/>
      <c r="J797" s="151"/>
      <c r="K797" s="151"/>
      <c r="L797" s="111"/>
      <c r="M797" s="111"/>
      <c r="N797" s="111"/>
      <c r="O797" s="111"/>
      <c r="P797" s="111"/>
      <c r="Q797" s="111"/>
      <c r="R797" s="111"/>
      <c r="S797" s="712"/>
      <c r="T797" s="169" t="s">
        <v>946</v>
      </c>
      <c r="U797" s="169" t="s">
        <v>946</v>
      </c>
      <c r="V797" s="121" t="s">
        <v>848</v>
      </c>
      <c r="W797" s="164" t="s">
        <v>947</v>
      </c>
      <c r="X797" s="170">
        <f>'Assumptions TRC_AUN'!$E$33</f>
        <v>3334</v>
      </c>
      <c r="Y797" s="200">
        <f t="shared" si="869"/>
        <v>115.77924415116976</v>
      </c>
      <c r="Z797" s="167">
        <f t="shared" si="870"/>
        <v>386008</v>
      </c>
      <c r="AA797" s="170">
        <f>'Assumptions TRC_AUN'!$E$33</f>
        <v>3334</v>
      </c>
      <c r="AB797" s="200">
        <f t="shared" si="871"/>
        <v>115.77924415116976</v>
      </c>
      <c r="AC797" s="167">
        <f t="shared" si="872"/>
        <v>386008</v>
      </c>
      <c r="AD797" s="111"/>
      <c r="AE797" s="111"/>
      <c r="AF797" s="111"/>
      <c r="AG797" s="67"/>
    </row>
    <row r="798" spans="1:33">
      <c r="A798" s="134"/>
      <c r="B798" s="245" t="s">
        <v>1369</v>
      </c>
      <c r="C798" s="245" t="s">
        <v>1362</v>
      </c>
      <c r="D798" s="246">
        <v>904</v>
      </c>
      <c r="E798" s="246">
        <v>854</v>
      </c>
      <c r="F798" s="246">
        <f t="shared" si="868"/>
        <v>772016</v>
      </c>
      <c r="G798" s="909"/>
      <c r="H798" s="899"/>
      <c r="I798" s="151"/>
      <c r="J798" s="151"/>
      <c r="K798" s="151"/>
      <c r="L798" s="111"/>
      <c r="M798" s="111"/>
      <c r="N798" s="111"/>
      <c r="O798" s="111"/>
      <c r="P798" s="111"/>
      <c r="Q798" s="111"/>
      <c r="R798" s="111"/>
      <c r="S798" s="712"/>
      <c r="T798" s="169" t="s">
        <v>946</v>
      </c>
      <c r="U798" s="169" t="s">
        <v>946</v>
      </c>
      <c r="V798" s="121" t="s">
        <v>848</v>
      </c>
      <c r="W798" s="164" t="s">
        <v>947</v>
      </c>
      <c r="X798" s="170">
        <f>'Assumptions TRC_AUN'!$E$33</f>
        <v>3334</v>
      </c>
      <c r="Y798" s="200">
        <f t="shared" si="869"/>
        <v>115.77924415116976</v>
      </c>
      <c r="Z798" s="167">
        <f t="shared" si="870"/>
        <v>386008</v>
      </c>
      <c r="AA798" s="170">
        <f>'Assumptions TRC_AUN'!$E$33</f>
        <v>3334</v>
      </c>
      <c r="AB798" s="200">
        <f t="shared" si="871"/>
        <v>115.77924415116976</v>
      </c>
      <c r="AC798" s="167">
        <f t="shared" si="872"/>
        <v>386008</v>
      </c>
      <c r="AD798" s="111"/>
      <c r="AE798" s="111"/>
      <c r="AF798" s="111"/>
      <c r="AG798" s="67"/>
    </row>
    <row r="799" spans="1:33">
      <c r="A799" s="134"/>
      <c r="B799" s="245" t="s">
        <v>1370</v>
      </c>
      <c r="C799" s="245" t="s">
        <v>1362</v>
      </c>
      <c r="D799" s="246">
        <v>904</v>
      </c>
      <c r="E799" s="246">
        <v>854</v>
      </c>
      <c r="F799" s="246">
        <f t="shared" si="868"/>
        <v>772016</v>
      </c>
      <c r="G799" s="909"/>
      <c r="H799" s="899"/>
      <c r="I799" s="151"/>
      <c r="J799" s="151"/>
      <c r="K799" s="151"/>
      <c r="L799" s="111"/>
      <c r="M799" s="111"/>
      <c r="N799" s="111"/>
      <c r="O799" s="111"/>
      <c r="P799" s="111"/>
      <c r="Q799" s="111"/>
      <c r="R799" s="111"/>
      <c r="S799" s="712"/>
      <c r="T799" s="169" t="s">
        <v>946</v>
      </c>
      <c r="U799" s="169" t="s">
        <v>946</v>
      </c>
      <c r="V799" s="121" t="s">
        <v>848</v>
      </c>
      <c r="W799" s="164" t="s">
        <v>947</v>
      </c>
      <c r="X799" s="170">
        <f>'Assumptions TRC_AUN'!$E$33</f>
        <v>3334</v>
      </c>
      <c r="Y799" s="200">
        <f t="shared" si="869"/>
        <v>115.77924415116976</v>
      </c>
      <c r="Z799" s="167">
        <f t="shared" si="870"/>
        <v>386008</v>
      </c>
      <c r="AA799" s="170">
        <f>'Assumptions TRC_AUN'!$E$33</f>
        <v>3334</v>
      </c>
      <c r="AB799" s="200">
        <f t="shared" si="871"/>
        <v>115.77924415116976</v>
      </c>
      <c r="AC799" s="167">
        <f t="shared" si="872"/>
        <v>386008</v>
      </c>
      <c r="AD799" s="111"/>
      <c r="AE799" s="111"/>
      <c r="AF799" s="111"/>
      <c r="AG799" s="67"/>
    </row>
    <row r="800" spans="1:33">
      <c r="A800" s="134"/>
      <c r="B800" s="245" t="s">
        <v>1371</v>
      </c>
      <c r="C800" s="245" t="s">
        <v>1362</v>
      </c>
      <c r="D800" s="246">
        <v>904</v>
      </c>
      <c r="E800" s="246">
        <v>854</v>
      </c>
      <c r="F800" s="246">
        <f t="shared" si="868"/>
        <v>772016</v>
      </c>
      <c r="G800" s="909"/>
      <c r="H800" s="899"/>
      <c r="I800" s="151"/>
      <c r="J800" s="151"/>
      <c r="K800" s="151"/>
      <c r="L800" s="111"/>
      <c r="M800" s="111"/>
      <c r="N800" s="111"/>
      <c r="O800" s="111"/>
      <c r="P800" s="111"/>
      <c r="Q800" s="111"/>
      <c r="R800" s="111"/>
      <c r="S800" s="712"/>
      <c r="T800" s="169" t="s">
        <v>946</v>
      </c>
      <c r="U800" s="169" t="s">
        <v>946</v>
      </c>
      <c r="V800" s="121" t="s">
        <v>848</v>
      </c>
      <c r="W800" s="164" t="s">
        <v>947</v>
      </c>
      <c r="X800" s="170">
        <f>'Assumptions TRC_AUN'!$E$33</f>
        <v>3334</v>
      </c>
      <c r="Y800" s="200">
        <f t="shared" si="869"/>
        <v>115.77924415116976</v>
      </c>
      <c r="Z800" s="167">
        <f t="shared" si="870"/>
        <v>386008</v>
      </c>
      <c r="AA800" s="170">
        <f>'Assumptions TRC_AUN'!$E$33</f>
        <v>3334</v>
      </c>
      <c r="AB800" s="200">
        <f t="shared" si="871"/>
        <v>115.77924415116976</v>
      </c>
      <c r="AC800" s="167">
        <f t="shared" si="872"/>
        <v>386008</v>
      </c>
      <c r="AD800" s="111"/>
      <c r="AE800" s="111"/>
      <c r="AF800" s="111"/>
      <c r="AG800" s="67"/>
    </row>
    <row r="801" spans="1:33">
      <c r="A801" s="134"/>
      <c r="B801" s="245" t="s">
        <v>1372</v>
      </c>
      <c r="C801" s="245" t="s">
        <v>1362</v>
      </c>
      <c r="D801" s="246">
        <v>904</v>
      </c>
      <c r="E801" s="246">
        <v>854</v>
      </c>
      <c r="F801" s="246">
        <f t="shared" si="868"/>
        <v>772016</v>
      </c>
      <c r="G801" s="909"/>
      <c r="H801" s="899"/>
      <c r="I801" s="151"/>
      <c r="J801" s="151"/>
      <c r="K801" s="151"/>
      <c r="L801" s="111"/>
      <c r="M801" s="111"/>
      <c r="N801" s="111"/>
      <c r="O801" s="111"/>
      <c r="P801" s="111"/>
      <c r="Q801" s="111"/>
      <c r="R801" s="111"/>
      <c r="S801" s="712"/>
      <c r="T801" s="169" t="s">
        <v>946</v>
      </c>
      <c r="U801" s="169" t="s">
        <v>946</v>
      </c>
      <c r="V801" s="121" t="s">
        <v>848</v>
      </c>
      <c r="W801" s="164" t="s">
        <v>947</v>
      </c>
      <c r="X801" s="170">
        <f>'Assumptions TRC_AUN'!$E$33</f>
        <v>3334</v>
      </c>
      <c r="Y801" s="200">
        <f t="shared" si="869"/>
        <v>115.77924415116976</v>
      </c>
      <c r="Z801" s="167">
        <f t="shared" si="870"/>
        <v>386008</v>
      </c>
      <c r="AA801" s="170">
        <f>'Assumptions TRC_AUN'!$E$33</f>
        <v>3334</v>
      </c>
      <c r="AB801" s="200">
        <f t="shared" si="871"/>
        <v>115.77924415116976</v>
      </c>
      <c r="AC801" s="167">
        <f t="shared" si="872"/>
        <v>386008</v>
      </c>
      <c r="AD801" s="111"/>
      <c r="AE801" s="111"/>
      <c r="AF801" s="111"/>
      <c r="AG801" s="67"/>
    </row>
    <row r="802" spans="1:33">
      <c r="A802" s="134"/>
      <c r="B802" s="245"/>
      <c r="C802" s="245"/>
      <c r="D802" s="245"/>
      <c r="E802" s="245"/>
      <c r="F802" s="245"/>
      <c r="G802" s="909"/>
      <c r="H802" s="899"/>
      <c r="I802" s="151"/>
      <c r="J802" s="151"/>
      <c r="K802" s="151"/>
      <c r="L802" s="111"/>
      <c r="M802" s="111"/>
      <c r="N802" s="111"/>
      <c r="O802" s="111"/>
      <c r="P802" s="111"/>
      <c r="Q802" s="111"/>
      <c r="R802" s="111"/>
      <c r="S802" s="712"/>
      <c r="T802" s="111"/>
      <c r="U802" s="111"/>
      <c r="V802" s="111"/>
      <c r="W802" s="111"/>
      <c r="X802" s="132"/>
      <c r="Y802" s="111"/>
      <c r="Z802" s="111"/>
      <c r="AA802" s="111"/>
      <c r="AB802" s="111"/>
      <c r="AC802" s="111"/>
      <c r="AD802" s="111"/>
      <c r="AE802" s="111"/>
      <c r="AF802" s="111"/>
      <c r="AG802" s="67"/>
    </row>
    <row r="803" spans="1:33">
      <c r="A803" s="134"/>
      <c r="B803" s="247" t="s">
        <v>1374</v>
      </c>
      <c r="C803" s="247"/>
      <c r="D803" s="247"/>
      <c r="E803" s="247"/>
      <c r="F803" s="255">
        <f>SUM(F792:F801)</f>
        <v>7720160</v>
      </c>
      <c r="G803" s="910"/>
      <c r="H803" s="911"/>
      <c r="I803" s="151"/>
      <c r="J803" s="151"/>
      <c r="K803" s="151"/>
      <c r="L803" s="111"/>
      <c r="M803" s="111"/>
      <c r="N803" s="111"/>
      <c r="O803" s="111"/>
      <c r="P803" s="111"/>
      <c r="Q803" s="111"/>
      <c r="R803" s="111"/>
      <c r="S803" s="712"/>
      <c r="T803" s="111"/>
      <c r="U803" s="111"/>
      <c r="V803" s="111"/>
      <c r="W803" s="111"/>
      <c r="X803" s="132"/>
      <c r="Y803" s="111"/>
      <c r="Z803" s="111"/>
      <c r="AA803" s="111"/>
      <c r="AB803" s="111"/>
      <c r="AC803" s="111"/>
      <c r="AD803" s="111"/>
      <c r="AE803" s="111"/>
      <c r="AF803" s="111"/>
      <c r="AG803" s="67"/>
    </row>
    <row r="804" spans="1:33">
      <c r="A804" s="9"/>
      <c r="B804" s="249"/>
      <c r="C804" s="249"/>
      <c r="D804" s="249"/>
      <c r="E804" s="249"/>
      <c r="F804" s="249"/>
      <c r="G804" s="249"/>
      <c r="H804" s="249"/>
      <c r="I804" s="151"/>
      <c r="J804" s="151"/>
      <c r="K804" s="151"/>
      <c r="L804" s="111"/>
      <c r="M804" s="111"/>
      <c r="N804" s="111"/>
      <c r="O804" s="111"/>
      <c r="P804" s="111"/>
      <c r="Q804" s="111"/>
      <c r="R804" s="111"/>
      <c r="S804" s="712"/>
      <c r="T804" s="111"/>
      <c r="U804" s="111"/>
      <c r="V804" s="111"/>
      <c r="W804" s="111"/>
      <c r="X804" s="132"/>
      <c r="Y804" s="111"/>
      <c r="Z804" s="111"/>
      <c r="AA804" s="111"/>
      <c r="AB804" s="111"/>
      <c r="AC804" s="111"/>
      <c r="AD804" s="111"/>
      <c r="AE804" s="111"/>
      <c r="AF804" s="111"/>
      <c r="AG804" s="67"/>
    </row>
    <row r="805" spans="1:33">
      <c r="A805" s="134"/>
      <c r="B805" s="905" t="s">
        <v>1384</v>
      </c>
      <c r="C805" s="895"/>
      <c r="D805" s="895"/>
      <c r="E805" s="895"/>
      <c r="F805" s="896"/>
      <c r="G805" s="257" t="s">
        <v>1385</v>
      </c>
      <c r="H805" s="249"/>
      <c r="I805" s="151"/>
      <c r="J805" s="151"/>
      <c r="K805" s="151"/>
      <c r="L805" s="111"/>
      <c r="M805" s="111"/>
      <c r="N805" s="111"/>
      <c r="O805" s="111"/>
      <c r="P805" s="111"/>
      <c r="Q805" s="111"/>
      <c r="R805" s="111"/>
      <c r="S805" s="712"/>
      <c r="T805" s="111"/>
      <c r="U805" s="111"/>
      <c r="V805" s="111"/>
      <c r="W805" s="111"/>
      <c r="X805" s="132"/>
      <c r="Y805" s="111"/>
      <c r="Z805" s="111"/>
      <c r="AA805" s="111"/>
      <c r="AB805" s="111"/>
      <c r="AC805" s="111"/>
      <c r="AD805" s="111"/>
      <c r="AE805" s="111"/>
      <c r="AF805" s="111"/>
      <c r="AG805" s="67"/>
    </row>
    <row r="806" spans="1:33">
      <c r="A806" s="134"/>
      <c r="B806" s="258" t="s">
        <v>1347</v>
      </c>
      <c r="C806" s="258" t="s">
        <v>697</v>
      </c>
      <c r="D806" s="259" t="s">
        <v>1348</v>
      </c>
      <c r="E806" s="258" t="s">
        <v>759</v>
      </c>
      <c r="F806" s="258" t="s">
        <v>1349</v>
      </c>
      <c r="G806" s="260"/>
      <c r="H806" s="260"/>
      <c r="I806" s="151"/>
      <c r="J806" s="151"/>
      <c r="K806" s="151"/>
      <c r="L806" s="111"/>
      <c r="M806" s="111"/>
      <c r="N806" s="111"/>
      <c r="O806" s="111"/>
      <c r="P806" s="111"/>
      <c r="Q806" s="111"/>
      <c r="R806" s="111"/>
      <c r="S806" s="712"/>
      <c r="T806" s="159" t="s">
        <v>387</v>
      </c>
      <c r="U806" s="159" t="s">
        <v>388</v>
      </c>
      <c r="V806" s="160" t="s">
        <v>934</v>
      </c>
      <c r="W806" s="160" t="s">
        <v>935</v>
      </c>
      <c r="X806" s="161" t="s">
        <v>936</v>
      </c>
      <c r="Y806" s="162" t="s">
        <v>937</v>
      </c>
      <c r="Z806" s="161" t="s">
        <v>938</v>
      </c>
      <c r="AA806" s="111"/>
      <c r="AB806" s="111"/>
      <c r="AC806" s="111"/>
      <c r="AD806" s="111"/>
      <c r="AE806" s="111"/>
      <c r="AF806" s="111"/>
      <c r="AG806" s="67"/>
    </row>
    <row r="807" spans="1:33">
      <c r="A807" s="134"/>
      <c r="B807" s="245" t="s">
        <v>1386</v>
      </c>
      <c r="C807" s="245" t="s">
        <v>1182</v>
      </c>
      <c r="D807" s="246">
        <v>51661</v>
      </c>
      <c r="E807" s="246">
        <v>6</v>
      </c>
      <c r="F807" s="246">
        <f t="shared" ref="F807:F809" si="873">D807*E807</f>
        <v>309966</v>
      </c>
      <c r="G807" s="249"/>
      <c r="H807" s="249"/>
      <c r="I807" s="151"/>
      <c r="J807" s="151"/>
      <c r="K807" s="151"/>
      <c r="L807" s="111"/>
      <c r="M807" s="111"/>
      <c r="N807" s="111"/>
      <c r="O807" s="111"/>
      <c r="P807" s="111"/>
      <c r="Q807" s="111"/>
      <c r="R807" s="111"/>
      <c r="S807" s="712"/>
      <c r="T807" s="169" t="s">
        <v>946</v>
      </c>
      <c r="U807" s="169" t="s">
        <v>946</v>
      </c>
      <c r="V807" s="121" t="s">
        <v>848</v>
      </c>
      <c r="W807" s="164" t="s">
        <v>947</v>
      </c>
      <c r="X807" s="170">
        <f>'Assumptions TRC_AUN'!$E$33</f>
        <v>3334</v>
      </c>
      <c r="Y807" s="200">
        <f t="shared" ref="Y807:Y809" si="874">Z807/X807</f>
        <v>92.971205758848228</v>
      </c>
      <c r="Z807" s="167">
        <f t="shared" ref="Z807:Z809" si="875">F807</f>
        <v>309966</v>
      </c>
      <c r="AA807" s="111"/>
      <c r="AB807" s="111"/>
      <c r="AC807" s="111"/>
      <c r="AD807" s="111"/>
      <c r="AE807" s="111"/>
      <c r="AF807" s="111"/>
      <c r="AG807" s="67"/>
    </row>
    <row r="808" spans="1:33">
      <c r="A808" s="134"/>
      <c r="B808" s="245" t="s">
        <v>1386</v>
      </c>
      <c r="C808" s="245" t="s">
        <v>1182</v>
      </c>
      <c r="D808" s="246">
        <v>51661</v>
      </c>
      <c r="E808" s="246">
        <v>6</v>
      </c>
      <c r="F808" s="246">
        <f t="shared" si="873"/>
        <v>309966</v>
      </c>
      <c r="G808" s="249"/>
      <c r="H808" s="249"/>
      <c r="I808" s="151"/>
      <c r="J808" s="151"/>
      <c r="K808" s="151"/>
      <c r="L808" s="111"/>
      <c r="M808" s="111"/>
      <c r="N808" s="111"/>
      <c r="O808" s="111"/>
      <c r="P808" s="111"/>
      <c r="Q808" s="111"/>
      <c r="R808" s="111"/>
      <c r="S808" s="712"/>
      <c r="T808" s="169" t="s">
        <v>946</v>
      </c>
      <c r="U808" s="169" t="s">
        <v>946</v>
      </c>
      <c r="V808" s="121" t="s">
        <v>848</v>
      </c>
      <c r="W808" s="164" t="s">
        <v>947</v>
      </c>
      <c r="X808" s="170">
        <f>'Assumptions TRC_AUN'!$E$33</f>
        <v>3334</v>
      </c>
      <c r="Y808" s="200">
        <f t="shared" si="874"/>
        <v>92.971205758848228</v>
      </c>
      <c r="Z808" s="167">
        <f t="shared" si="875"/>
        <v>309966</v>
      </c>
      <c r="AA808" s="111"/>
      <c r="AB808" s="111"/>
      <c r="AC808" s="111"/>
      <c r="AD808" s="111"/>
      <c r="AE808" s="111"/>
      <c r="AF808" s="111"/>
      <c r="AG808" s="67"/>
    </row>
    <row r="809" spans="1:33">
      <c r="A809" s="134"/>
      <c r="B809" s="245" t="s">
        <v>1386</v>
      </c>
      <c r="C809" s="245" t="s">
        <v>1182</v>
      </c>
      <c r="D809" s="246">
        <v>51661</v>
      </c>
      <c r="E809" s="246">
        <v>6</v>
      </c>
      <c r="F809" s="246">
        <f t="shared" si="873"/>
        <v>309966</v>
      </c>
      <c r="G809" s="249"/>
      <c r="H809" s="249"/>
      <c r="I809" s="151"/>
      <c r="J809" s="151"/>
      <c r="K809" s="151"/>
      <c r="L809" s="111"/>
      <c r="M809" s="111"/>
      <c r="N809" s="111"/>
      <c r="O809" s="111"/>
      <c r="P809" s="111"/>
      <c r="Q809" s="111"/>
      <c r="R809" s="111"/>
      <c r="S809" s="712"/>
      <c r="T809" s="169" t="s">
        <v>946</v>
      </c>
      <c r="U809" s="169" t="s">
        <v>946</v>
      </c>
      <c r="V809" s="121" t="s">
        <v>848</v>
      </c>
      <c r="W809" s="164" t="s">
        <v>947</v>
      </c>
      <c r="X809" s="170">
        <f>'Assumptions TRC_AUN'!$E$33</f>
        <v>3334</v>
      </c>
      <c r="Y809" s="200">
        <f t="shared" si="874"/>
        <v>92.971205758848228</v>
      </c>
      <c r="Z809" s="167">
        <f t="shared" si="875"/>
        <v>309966</v>
      </c>
      <c r="AA809" s="111"/>
      <c r="AB809" s="111"/>
      <c r="AC809" s="111"/>
      <c r="AD809" s="111"/>
      <c r="AE809" s="111"/>
      <c r="AF809" s="111"/>
      <c r="AG809" s="67"/>
    </row>
    <row r="810" spans="1:33">
      <c r="A810" s="134"/>
      <c r="B810" s="245"/>
      <c r="C810" s="245"/>
      <c r="D810" s="245"/>
      <c r="E810" s="245"/>
      <c r="F810" s="245"/>
      <c r="G810" s="249"/>
      <c r="H810" s="249"/>
      <c r="I810" s="151"/>
      <c r="J810" s="151"/>
      <c r="K810" s="151"/>
      <c r="L810" s="111"/>
      <c r="M810" s="111"/>
      <c r="N810" s="111"/>
      <c r="O810" s="111"/>
      <c r="P810" s="111"/>
      <c r="Q810" s="111"/>
      <c r="R810" s="111"/>
      <c r="S810" s="712"/>
      <c r="T810" s="169"/>
      <c r="U810" s="169"/>
      <c r="V810" s="121"/>
      <c r="W810" s="164"/>
      <c r="X810" s="170"/>
      <c r="Y810" s="200"/>
      <c r="Z810" s="167"/>
      <c r="AA810" s="111"/>
      <c r="AB810" s="111"/>
      <c r="AC810" s="111"/>
      <c r="AD810" s="111"/>
      <c r="AE810" s="111"/>
      <c r="AF810" s="111"/>
      <c r="AG810" s="67"/>
    </row>
    <row r="811" spans="1:33">
      <c r="A811" s="134"/>
      <c r="B811" s="261" t="s">
        <v>1387</v>
      </c>
      <c r="C811" s="261"/>
      <c r="D811" s="261"/>
      <c r="E811" s="261"/>
      <c r="F811" s="262">
        <f>SUM(F807:F809)</f>
        <v>929898</v>
      </c>
      <c r="G811" s="260"/>
      <c r="H811" s="260"/>
      <c r="I811" s="151"/>
      <c r="J811" s="151"/>
      <c r="K811" s="151"/>
      <c r="L811" s="111"/>
      <c r="M811" s="111"/>
      <c r="N811" s="111"/>
      <c r="O811" s="111"/>
      <c r="P811" s="111"/>
      <c r="Q811" s="111"/>
      <c r="R811" s="111"/>
      <c r="S811" s="712"/>
      <c r="T811" s="111"/>
      <c r="U811" s="111"/>
      <c r="V811" s="111"/>
      <c r="W811" s="111"/>
      <c r="X811" s="132"/>
      <c r="Y811" s="111"/>
      <c r="Z811" s="111"/>
      <c r="AA811" s="111"/>
      <c r="AB811" s="111"/>
      <c r="AC811" s="111"/>
      <c r="AD811" s="111"/>
      <c r="AE811" s="111"/>
      <c r="AF811" s="111"/>
      <c r="AG811" s="67"/>
    </row>
    <row r="812" spans="1:33">
      <c r="A812" s="9"/>
      <c r="B812" s="249"/>
      <c r="C812" s="249"/>
      <c r="D812" s="249"/>
      <c r="E812" s="249"/>
      <c r="F812" s="249"/>
      <c r="G812" s="249"/>
      <c r="H812" s="249"/>
      <c r="I812" s="151"/>
      <c r="J812" s="151"/>
      <c r="K812" s="151"/>
      <c r="L812" s="111"/>
      <c r="M812" s="111"/>
      <c r="N812" s="111"/>
      <c r="O812" s="111"/>
      <c r="P812" s="111"/>
      <c r="Q812" s="111"/>
      <c r="R812" s="111"/>
      <c r="S812" s="712"/>
      <c r="T812" s="111"/>
      <c r="U812" s="111"/>
      <c r="V812" s="111"/>
      <c r="W812" s="111"/>
      <c r="X812" s="132"/>
      <c r="Y812" s="111"/>
      <c r="Z812" s="111"/>
      <c r="AA812" s="111"/>
      <c r="AB812" s="111"/>
      <c r="AC812" s="111"/>
      <c r="AD812" s="111"/>
      <c r="AE812" s="111"/>
      <c r="AF812" s="111"/>
      <c r="AG812" s="67"/>
    </row>
    <row r="813" spans="1:33">
      <c r="A813" s="134"/>
      <c r="B813" s="906" t="s">
        <v>1382</v>
      </c>
      <c r="C813" s="895"/>
      <c r="D813" s="895"/>
      <c r="E813" s="896"/>
      <c r="F813" s="256">
        <f>F803+F811</f>
        <v>8650058</v>
      </c>
      <c r="G813" s="263">
        <f>F813/25.8305</f>
        <v>334877.68335881998</v>
      </c>
      <c r="H813" s="249"/>
      <c r="I813" s="151"/>
      <c r="J813" s="151"/>
      <c r="K813" s="151"/>
      <c r="L813" s="111"/>
      <c r="M813" s="111"/>
      <c r="N813" s="111"/>
      <c r="O813" s="111"/>
      <c r="P813" s="111"/>
      <c r="Q813" s="111"/>
      <c r="R813" s="111"/>
      <c r="S813" s="712"/>
      <c r="T813" s="111"/>
      <c r="U813" s="111"/>
      <c r="V813" s="111"/>
      <c r="W813" s="111"/>
      <c r="X813" s="132"/>
      <c r="Y813" s="111"/>
      <c r="Z813" s="111"/>
      <c r="AA813" s="111"/>
      <c r="AB813" s="111"/>
      <c r="AC813" s="111"/>
      <c r="AD813" s="111"/>
      <c r="AE813" s="111"/>
      <c r="AF813" s="111"/>
      <c r="AG813" s="67"/>
    </row>
    <row r="814" spans="1:33">
      <c r="A814" s="9"/>
      <c r="B814" s="111"/>
      <c r="C814" s="111"/>
      <c r="D814" s="111"/>
      <c r="E814" s="111"/>
      <c r="F814" s="111"/>
      <c r="G814" s="111"/>
      <c r="H814" s="151"/>
      <c r="I814" s="151"/>
      <c r="J814" s="151"/>
      <c r="K814" s="151"/>
      <c r="L814" s="111"/>
      <c r="M814" s="111"/>
      <c r="N814" s="111"/>
      <c r="O814" s="111"/>
      <c r="P814" s="111"/>
      <c r="Q814" s="111"/>
      <c r="R814" s="111"/>
      <c r="S814" s="712"/>
      <c r="T814" s="111"/>
      <c r="U814" s="111"/>
      <c r="V814" s="111"/>
      <c r="W814" s="111"/>
      <c r="X814" s="132"/>
      <c r="Y814" s="111"/>
      <c r="Z814" s="111"/>
      <c r="AA814" s="111"/>
      <c r="AB814" s="111"/>
      <c r="AC814" s="111"/>
      <c r="AD814" s="111"/>
      <c r="AE814" s="111"/>
      <c r="AF814" s="111"/>
      <c r="AG814" s="67"/>
    </row>
    <row r="815" spans="1:33">
      <c r="A815" s="9"/>
      <c r="B815" s="111"/>
      <c r="C815" s="111"/>
      <c r="D815" s="111"/>
      <c r="E815" s="111"/>
      <c r="F815" s="111"/>
      <c r="G815" s="111"/>
      <c r="H815" s="151"/>
      <c r="I815" s="151"/>
      <c r="J815" s="151"/>
      <c r="K815" s="151"/>
      <c r="L815" s="111"/>
      <c r="M815" s="111"/>
      <c r="N815" s="111"/>
      <c r="O815" s="111"/>
      <c r="P815" s="111"/>
      <c r="Q815" s="111"/>
      <c r="R815" s="111"/>
      <c r="S815" s="712"/>
      <c r="T815" s="111"/>
      <c r="U815" s="111"/>
      <c r="V815" s="111"/>
      <c r="W815" s="111"/>
      <c r="X815" s="132"/>
      <c r="Y815" s="111"/>
      <c r="Z815" s="111"/>
      <c r="AA815" s="111"/>
      <c r="AB815" s="111"/>
      <c r="AC815" s="111"/>
      <c r="AD815" s="111"/>
      <c r="AE815" s="111"/>
      <c r="AF815" s="111"/>
      <c r="AG815" s="67"/>
    </row>
    <row r="816" spans="1:33">
      <c r="A816" s="9"/>
      <c r="B816" s="111"/>
      <c r="C816" s="111"/>
      <c r="D816" s="111"/>
      <c r="E816" s="111"/>
      <c r="F816" s="111"/>
      <c r="G816" s="111"/>
      <c r="H816" s="151"/>
      <c r="I816" s="151"/>
      <c r="J816" s="151"/>
      <c r="K816" s="151"/>
      <c r="L816" s="111"/>
      <c r="M816" s="111"/>
      <c r="N816" s="111"/>
      <c r="O816" s="111"/>
      <c r="P816" s="111"/>
      <c r="Q816" s="111"/>
      <c r="R816" s="111"/>
      <c r="S816" s="712"/>
      <c r="T816" s="111"/>
      <c r="U816" s="111"/>
      <c r="V816" s="111"/>
      <c r="W816" s="111"/>
      <c r="X816" s="132"/>
      <c r="Y816" s="111"/>
      <c r="Z816" s="111"/>
      <c r="AA816" s="111"/>
      <c r="AB816" s="111"/>
      <c r="AC816" s="111"/>
      <c r="AD816" s="111"/>
      <c r="AE816" s="111"/>
      <c r="AF816" s="111"/>
      <c r="AG816" s="67"/>
    </row>
    <row r="817" spans="1:33">
      <c r="A817" s="9"/>
      <c r="B817" s="111"/>
      <c r="C817" s="111"/>
      <c r="D817" s="111"/>
      <c r="E817" s="111"/>
      <c r="F817" s="111"/>
      <c r="G817" s="111"/>
      <c r="H817" s="151"/>
      <c r="I817" s="151"/>
      <c r="J817" s="151"/>
      <c r="K817" s="151"/>
      <c r="L817" s="111"/>
      <c r="M817" s="111"/>
      <c r="N817" s="111"/>
      <c r="O817" s="111"/>
      <c r="P817" s="111"/>
      <c r="Q817" s="111"/>
      <c r="R817" s="111"/>
      <c r="S817" s="712"/>
      <c r="T817" s="111"/>
      <c r="U817" s="111"/>
      <c r="V817" s="111"/>
      <c r="W817" s="111"/>
      <c r="X817" s="132"/>
      <c r="Y817" s="111"/>
      <c r="Z817" s="111"/>
      <c r="AA817" s="111"/>
      <c r="AB817" s="111"/>
      <c r="AC817" s="111"/>
      <c r="AD817" s="111"/>
      <c r="AE817" s="111"/>
      <c r="AF817" s="111"/>
      <c r="AG817" s="67"/>
    </row>
    <row r="818" spans="1:33">
      <c r="A818" s="725">
        <v>44</v>
      </c>
      <c r="B818" s="726" t="e" vm="1">
        <f>'[2]AUN Budget'!$E$184</f>
        <v>#VALUE!</v>
      </c>
      <c r="C818" s="731"/>
      <c r="D818" s="731"/>
      <c r="E818" s="731"/>
      <c r="F818" s="731"/>
      <c r="G818" s="731">
        <v>1.27</v>
      </c>
      <c r="H818" s="731">
        <f>1.22+0.27</f>
        <v>1.49</v>
      </c>
      <c r="I818" s="731"/>
      <c r="J818" s="731"/>
      <c r="K818" s="731"/>
      <c r="L818" s="111"/>
      <c r="M818" s="111"/>
      <c r="N818" s="111"/>
      <c r="O818" s="111"/>
      <c r="P818" s="111"/>
      <c r="Q818" s="111"/>
      <c r="R818" s="111"/>
      <c r="S818" s="712"/>
      <c r="T818" s="111"/>
      <c r="U818" s="111"/>
      <c r="V818" s="111"/>
      <c r="W818" s="111"/>
      <c r="X818" s="132"/>
      <c r="Y818" s="111"/>
      <c r="Z818" s="111"/>
      <c r="AA818" s="111"/>
      <c r="AB818" s="111"/>
      <c r="AC818" s="111"/>
      <c r="AD818" s="111"/>
      <c r="AE818" s="111"/>
      <c r="AF818" s="111"/>
      <c r="AG818" s="67"/>
    </row>
    <row r="819" spans="1:33">
      <c r="A819" s="134"/>
      <c r="B819" s="113" t="s">
        <v>755</v>
      </c>
      <c r="C819" s="113" t="s">
        <v>1304</v>
      </c>
      <c r="D819" s="113" t="s">
        <v>1305</v>
      </c>
      <c r="E819" s="113" t="s">
        <v>1388</v>
      </c>
      <c r="F819" s="113" t="s">
        <v>1307</v>
      </c>
      <c r="G819" s="113" t="s">
        <v>1308</v>
      </c>
      <c r="H819" s="113" t="s">
        <v>1309</v>
      </c>
      <c r="I819" s="113" t="s">
        <v>972</v>
      </c>
      <c r="J819" s="113" t="s">
        <v>973</v>
      </c>
      <c r="K819" s="113" t="s">
        <v>974</v>
      </c>
      <c r="L819" s="180"/>
      <c r="M819" s="111"/>
      <c r="N819" s="111"/>
      <c r="O819" s="111"/>
      <c r="P819" s="111"/>
      <c r="Q819" s="111"/>
      <c r="R819" s="111"/>
      <c r="S819" s="712"/>
      <c r="T819" s="159" t="s">
        <v>387</v>
      </c>
      <c r="U819" s="159" t="s">
        <v>388</v>
      </c>
      <c r="V819" s="160" t="s">
        <v>934</v>
      </c>
      <c r="W819" s="160" t="s">
        <v>935</v>
      </c>
      <c r="X819" s="161" t="s">
        <v>936</v>
      </c>
      <c r="Y819" s="162" t="s">
        <v>937</v>
      </c>
      <c r="Z819" s="161" t="s">
        <v>938</v>
      </c>
      <c r="AA819" s="159" t="s">
        <v>939</v>
      </c>
      <c r="AB819" s="159" t="s">
        <v>940</v>
      </c>
      <c r="AC819" s="160" t="s">
        <v>941</v>
      </c>
      <c r="AD819" s="160" t="s">
        <v>942</v>
      </c>
      <c r="AE819" s="161" t="s">
        <v>943</v>
      </c>
      <c r="AF819" s="161" t="s">
        <v>944</v>
      </c>
      <c r="AG819" s="67"/>
    </row>
    <row r="820" spans="1:33">
      <c r="A820" s="134"/>
      <c r="B820" s="153">
        <v>1</v>
      </c>
      <c r="C820" s="245" t="s">
        <v>1389</v>
      </c>
      <c r="D820" s="245" t="s">
        <v>1390</v>
      </c>
      <c r="E820" s="264">
        <f>$D$845</f>
        <v>163379</v>
      </c>
      <c r="F820" s="164">
        <v>6</v>
      </c>
      <c r="G820" s="164">
        <v>7</v>
      </c>
      <c r="H820" s="164">
        <v>0</v>
      </c>
      <c r="I820" s="164">
        <f t="shared" ref="I820:K820" si="876">$E820*F820</f>
        <v>980274</v>
      </c>
      <c r="J820" s="164">
        <f t="shared" si="876"/>
        <v>1143653</v>
      </c>
      <c r="K820" s="164">
        <f t="shared" si="876"/>
        <v>0</v>
      </c>
      <c r="L820" s="111" t="s">
        <v>1391</v>
      </c>
      <c r="M820" s="111"/>
      <c r="N820" s="111"/>
      <c r="O820" s="111"/>
      <c r="P820" s="111"/>
      <c r="Q820" s="111"/>
      <c r="R820" s="111"/>
      <c r="S820" s="712"/>
      <c r="T820" s="169" t="s">
        <v>946</v>
      </c>
      <c r="U820" s="169" t="s">
        <v>946</v>
      </c>
      <c r="V820" s="121" t="s">
        <v>1392</v>
      </c>
      <c r="W820" s="164" t="s">
        <v>789</v>
      </c>
      <c r="X820" s="170">
        <f>$E$820</f>
        <v>163379</v>
      </c>
      <c r="Y820" s="200">
        <f t="shared" ref="Y820:Y824" si="877">Z820/X820</f>
        <v>6</v>
      </c>
      <c r="Z820" s="167">
        <f t="shared" ref="Z820:Z834" si="878">I820</f>
        <v>980274</v>
      </c>
      <c r="AA820" s="170">
        <f>$E$820</f>
        <v>163379</v>
      </c>
      <c r="AB820" s="200">
        <f t="shared" ref="AB820:AB824" si="879">AC820/AA820</f>
        <v>7</v>
      </c>
      <c r="AC820" s="167">
        <f t="shared" ref="AC820:AC833" si="880">J820</f>
        <v>1143653</v>
      </c>
      <c r="AD820" s="170">
        <f>$E$820</f>
        <v>163379</v>
      </c>
      <c r="AE820" s="200">
        <f t="shared" ref="AE820:AE824" si="881">AF820/AD820</f>
        <v>0</v>
      </c>
      <c r="AF820" s="167">
        <f t="shared" ref="AF820:AF833" si="882">K820</f>
        <v>0</v>
      </c>
      <c r="AG820" s="67"/>
    </row>
    <row r="821" spans="1:33">
      <c r="A821" s="134"/>
      <c r="B821" s="153">
        <v>2</v>
      </c>
      <c r="C821" s="245" t="s">
        <v>1393</v>
      </c>
      <c r="D821" s="245" t="s">
        <v>1394</v>
      </c>
      <c r="E821" s="264">
        <v>27000</v>
      </c>
      <c r="F821" s="164">
        <f>6*6</f>
        <v>36</v>
      </c>
      <c r="G821" s="164">
        <f>7*6</f>
        <v>42</v>
      </c>
      <c r="H821" s="164">
        <f>12*6</f>
        <v>72</v>
      </c>
      <c r="I821" s="164">
        <f t="shared" ref="I821:K821" si="883">$E821*F821</f>
        <v>972000</v>
      </c>
      <c r="J821" s="164">
        <f t="shared" si="883"/>
        <v>1134000</v>
      </c>
      <c r="K821" s="164">
        <f t="shared" si="883"/>
        <v>1944000</v>
      </c>
      <c r="L821" s="111" t="s">
        <v>1391</v>
      </c>
      <c r="M821" s="111"/>
      <c r="N821" s="111"/>
      <c r="O821" s="111"/>
      <c r="P821" s="111"/>
      <c r="Q821" s="111"/>
      <c r="R821" s="111"/>
      <c r="S821" s="712"/>
      <c r="T821" s="169" t="s">
        <v>946</v>
      </c>
      <c r="U821" s="169" t="s">
        <v>946</v>
      </c>
      <c r="V821" s="121" t="s">
        <v>848</v>
      </c>
      <c r="W821" s="164" t="s">
        <v>947</v>
      </c>
      <c r="X821" s="170">
        <f>'Assumptions TRC_AUN'!$E$33</f>
        <v>3334</v>
      </c>
      <c r="Y821" s="200">
        <f t="shared" si="877"/>
        <v>291.54169166166764</v>
      </c>
      <c r="Z821" s="167">
        <f t="shared" si="878"/>
        <v>972000</v>
      </c>
      <c r="AA821" s="170">
        <f>'Assumptions TRC_AUN'!$E$33</f>
        <v>3334</v>
      </c>
      <c r="AB821" s="200">
        <f t="shared" si="879"/>
        <v>340.13197360527897</v>
      </c>
      <c r="AC821" s="167">
        <f t="shared" si="880"/>
        <v>1134000</v>
      </c>
      <c r="AD821" s="170">
        <f>'Assumptions TRC_AUN'!$E$33</f>
        <v>3334</v>
      </c>
      <c r="AE821" s="200">
        <f t="shared" si="881"/>
        <v>583.08338332333528</v>
      </c>
      <c r="AF821" s="167">
        <f t="shared" si="882"/>
        <v>1944000</v>
      </c>
      <c r="AG821" s="67"/>
    </row>
    <row r="822" spans="1:33">
      <c r="A822" s="134"/>
      <c r="B822" s="153">
        <v>3</v>
      </c>
      <c r="C822" s="245" t="s">
        <v>1395</v>
      </c>
      <c r="D822" s="265" t="s">
        <v>1396</v>
      </c>
      <c r="E822" s="264">
        <f>$D$54</f>
        <v>69950</v>
      </c>
      <c r="F822" s="164">
        <f>6*8</f>
        <v>48</v>
      </c>
      <c r="G822" s="164">
        <f>7*8</f>
        <v>56</v>
      </c>
      <c r="H822" s="164">
        <f>8*12</f>
        <v>96</v>
      </c>
      <c r="I822" s="164">
        <f t="shared" ref="I822:K822" si="884">$E822*F822</f>
        <v>3357600</v>
      </c>
      <c r="J822" s="164">
        <f t="shared" si="884"/>
        <v>3917200</v>
      </c>
      <c r="K822" s="164">
        <f t="shared" si="884"/>
        <v>6715200</v>
      </c>
      <c r="L822" s="111" t="s">
        <v>1391</v>
      </c>
      <c r="M822" s="111"/>
      <c r="N822" s="111"/>
      <c r="O822" s="111"/>
      <c r="P822" s="111"/>
      <c r="Q822" s="111"/>
      <c r="R822" s="111"/>
      <c r="S822" s="712"/>
      <c r="T822" s="169" t="s">
        <v>946</v>
      </c>
      <c r="U822" s="169" t="s">
        <v>946</v>
      </c>
      <c r="V822" s="121" t="s">
        <v>1392</v>
      </c>
      <c r="W822" s="164" t="s">
        <v>789</v>
      </c>
      <c r="X822" s="170">
        <f>$E$822</f>
        <v>69950</v>
      </c>
      <c r="Y822" s="200">
        <f t="shared" si="877"/>
        <v>48</v>
      </c>
      <c r="Z822" s="167">
        <f t="shared" si="878"/>
        <v>3357600</v>
      </c>
      <c r="AA822" s="170">
        <f>$E$822</f>
        <v>69950</v>
      </c>
      <c r="AB822" s="200">
        <f t="shared" si="879"/>
        <v>56</v>
      </c>
      <c r="AC822" s="167">
        <f t="shared" si="880"/>
        <v>3917200</v>
      </c>
      <c r="AD822" s="170">
        <f>$E$822</f>
        <v>69950</v>
      </c>
      <c r="AE822" s="200">
        <f t="shared" si="881"/>
        <v>96</v>
      </c>
      <c r="AF822" s="167">
        <f t="shared" si="882"/>
        <v>6715200</v>
      </c>
      <c r="AG822" s="67"/>
    </row>
    <row r="823" spans="1:33">
      <c r="A823" s="134"/>
      <c r="B823" s="153">
        <v>4</v>
      </c>
      <c r="C823" s="245" t="s">
        <v>1397</v>
      </c>
      <c r="D823" s="245" t="s">
        <v>1398</v>
      </c>
      <c r="E823" s="264">
        <v>19500</v>
      </c>
      <c r="F823" s="164">
        <v>6</v>
      </c>
      <c r="G823" s="164">
        <v>7</v>
      </c>
      <c r="H823" s="164">
        <v>12</v>
      </c>
      <c r="I823" s="164">
        <f t="shared" ref="I823:K823" si="885">$E823*F823</f>
        <v>117000</v>
      </c>
      <c r="J823" s="164">
        <f t="shared" si="885"/>
        <v>136500</v>
      </c>
      <c r="K823" s="164">
        <f t="shared" si="885"/>
        <v>234000</v>
      </c>
      <c r="L823" s="111" t="s">
        <v>1391</v>
      </c>
      <c r="M823" s="111"/>
      <c r="N823" s="111"/>
      <c r="O823" s="111"/>
      <c r="P823" s="111"/>
      <c r="Q823" s="111"/>
      <c r="R823" s="111"/>
      <c r="S823" s="712"/>
      <c r="T823" s="169" t="s">
        <v>946</v>
      </c>
      <c r="U823" s="169" t="s">
        <v>946</v>
      </c>
      <c r="V823" s="121" t="s">
        <v>848</v>
      </c>
      <c r="W823" s="164" t="s">
        <v>947</v>
      </c>
      <c r="X823" s="170">
        <f>'Assumptions TRC_AUN'!$E$33</f>
        <v>3334</v>
      </c>
      <c r="Y823" s="200">
        <f t="shared" si="877"/>
        <v>35.092981403719257</v>
      </c>
      <c r="Z823" s="167">
        <f t="shared" si="878"/>
        <v>117000</v>
      </c>
      <c r="AA823" s="170">
        <f>'Assumptions TRC_AUN'!$E$33</f>
        <v>3334</v>
      </c>
      <c r="AB823" s="200">
        <f t="shared" si="879"/>
        <v>40.941811637672465</v>
      </c>
      <c r="AC823" s="167">
        <f t="shared" si="880"/>
        <v>136500</v>
      </c>
      <c r="AD823" s="170">
        <f>'Assumptions TRC_AUN'!$E$33</f>
        <v>3334</v>
      </c>
      <c r="AE823" s="200">
        <f t="shared" si="881"/>
        <v>70.185962807438514</v>
      </c>
      <c r="AF823" s="167">
        <f t="shared" si="882"/>
        <v>234000</v>
      </c>
      <c r="AG823" s="67"/>
    </row>
    <row r="824" spans="1:33">
      <c r="A824" s="134"/>
      <c r="B824" s="153">
        <v>5</v>
      </c>
      <c r="C824" s="245" t="s">
        <v>1399</v>
      </c>
      <c r="D824" s="245" t="s">
        <v>1400</v>
      </c>
      <c r="E824" s="264">
        <f>'Assumptions TRC_AUN'!$J$90</f>
        <v>10982.125</v>
      </c>
      <c r="F824" s="164">
        <v>6</v>
      </c>
      <c r="G824" s="164">
        <v>7</v>
      </c>
      <c r="H824" s="164">
        <v>12</v>
      </c>
      <c r="I824" s="164">
        <f t="shared" ref="I824:K824" si="886">$E824*F824</f>
        <v>65892.75</v>
      </c>
      <c r="J824" s="164">
        <f t="shared" si="886"/>
        <v>76874.875</v>
      </c>
      <c r="K824" s="164">
        <f t="shared" si="886"/>
        <v>131785.5</v>
      </c>
      <c r="L824" s="111" t="s">
        <v>1391</v>
      </c>
      <c r="M824" s="111"/>
      <c r="N824" s="111"/>
      <c r="O824" s="111"/>
      <c r="P824" s="111"/>
      <c r="Q824" s="111"/>
      <c r="R824" s="111"/>
      <c r="S824" s="712"/>
      <c r="T824" s="169" t="s">
        <v>946</v>
      </c>
      <c r="U824" s="169" t="s">
        <v>946</v>
      </c>
      <c r="V824" s="121" t="s">
        <v>950</v>
      </c>
      <c r="W824" s="121" t="s">
        <v>951</v>
      </c>
      <c r="X824" s="170">
        <f>'Assumptions TRC_AUN'!$J$91</f>
        <v>549.10625000000005</v>
      </c>
      <c r="Y824" s="200">
        <f t="shared" si="877"/>
        <v>119.99999999999999</v>
      </c>
      <c r="Z824" s="167">
        <f t="shared" si="878"/>
        <v>65892.75</v>
      </c>
      <c r="AA824" s="170">
        <f>'Assumptions TRC_AUN'!$J$91</f>
        <v>549.10625000000005</v>
      </c>
      <c r="AB824" s="200">
        <f t="shared" si="879"/>
        <v>140</v>
      </c>
      <c r="AC824" s="167">
        <f t="shared" si="880"/>
        <v>76874.875</v>
      </c>
      <c r="AD824" s="170">
        <f>'Assumptions TRC_AUN'!$J$91</f>
        <v>549.10625000000005</v>
      </c>
      <c r="AE824" s="200">
        <f t="shared" si="881"/>
        <v>239.99999999999997</v>
      </c>
      <c r="AF824" s="167">
        <f t="shared" si="882"/>
        <v>131785.5</v>
      </c>
      <c r="AG824" s="67"/>
    </row>
    <row r="825" spans="1:33">
      <c r="A825" s="134"/>
      <c r="B825" s="153">
        <v>6</v>
      </c>
      <c r="C825" s="245"/>
      <c r="D825" s="245"/>
      <c r="E825" s="264"/>
      <c r="F825" s="164"/>
      <c r="G825" s="164"/>
      <c r="H825" s="164"/>
      <c r="I825" s="164"/>
      <c r="J825" s="164"/>
      <c r="K825" s="164"/>
      <c r="L825" s="111" t="s">
        <v>1391</v>
      </c>
      <c r="M825" s="111"/>
      <c r="N825" s="111"/>
      <c r="O825" s="111"/>
      <c r="P825" s="111"/>
      <c r="Q825" s="111"/>
      <c r="R825" s="111"/>
      <c r="S825" s="712"/>
      <c r="T825" s="169" t="s">
        <v>946</v>
      </c>
      <c r="U825" s="169" t="s">
        <v>946</v>
      </c>
      <c r="V825" s="121" t="s">
        <v>882</v>
      </c>
      <c r="W825" s="164" t="s">
        <v>789</v>
      </c>
      <c r="X825" s="170">
        <f>$E$825</f>
        <v>0</v>
      </c>
      <c r="Y825" s="200"/>
      <c r="Z825" s="167">
        <f t="shared" si="878"/>
        <v>0</v>
      </c>
      <c r="AA825" s="170">
        <f>$E$825*$G$818</f>
        <v>0</v>
      </c>
      <c r="AB825" s="200"/>
      <c r="AC825" s="167">
        <f t="shared" si="880"/>
        <v>0</v>
      </c>
      <c r="AD825" s="170">
        <f>$E$825*$H$818</f>
        <v>0</v>
      </c>
      <c r="AE825" s="200"/>
      <c r="AF825" s="167">
        <f t="shared" si="882"/>
        <v>0</v>
      </c>
      <c r="AG825" s="67"/>
    </row>
    <row r="826" spans="1:33">
      <c r="A826" s="134"/>
      <c r="B826" s="153">
        <v>7</v>
      </c>
      <c r="C826" s="245" t="s">
        <v>1401</v>
      </c>
      <c r="D826" s="245" t="s">
        <v>1402</v>
      </c>
      <c r="E826" s="264">
        <f>'Assumptions TRC_AUN'!$I$185</f>
        <v>11845</v>
      </c>
      <c r="F826" s="164">
        <v>6</v>
      </c>
      <c r="G826" s="164">
        <v>7</v>
      </c>
      <c r="H826" s="164">
        <v>5</v>
      </c>
      <c r="I826" s="164">
        <f t="shared" ref="I826:K826" si="887">$E826*F826</f>
        <v>71070</v>
      </c>
      <c r="J826" s="164">
        <f t="shared" si="887"/>
        <v>82915</v>
      </c>
      <c r="K826" s="164">
        <f t="shared" si="887"/>
        <v>59225</v>
      </c>
      <c r="L826" s="111" t="s">
        <v>1391</v>
      </c>
      <c r="M826" s="111"/>
      <c r="N826" s="111"/>
      <c r="O826" s="111"/>
      <c r="P826" s="111"/>
      <c r="Q826" s="111"/>
      <c r="R826" s="111"/>
      <c r="S826" s="712"/>
      <c r="T826" s="169" t="s">
        <v>946</v>
      </c>
      <c r="U826" s="169" t="s">
        <v>946</v>
      </c>
      <c r="V826" s="121" t="s">
        <v>809</v>
      </c>
      <c r="W826" s="121" t="s">
        <v>791</v>
      </c>
      <c r="X826" s="170">
        <f>'Assumptions TRC_AUN'!$I$186</f>
        <v>1974.1666666666667</v>
      </c>
      <c r="Y826" s="200">
        <f t="shared" ref="Y826:Y833" si="888">Z826/X826</f>
        <v>36</v>
      </c>
      <c r="Z826" s="167">
        <f t="shared" si="878"/>
        <v>71070</v>
      </c>
      <c r="AA826" s="170">
        <f>'Assumptions TRC_AUN'!$I$186</f>
        <v>1974.1666666666667</v>
      </c>
      <c r="AB826" s="200">
        <f t="shared" ref="AB826:AB833" si="889">AC826/AA826</f>
        <v>42</v>
      </c>
      <c r="AC826" s="167">
        <f t="shared" si="880"/>
        <v>82915</v>
      </c>
      <c r="AD826" s="170">
        <f>'Assumptions TRC_AUN'!$I$186</f>
        <v>1974.1666666666667</v>
      </c>
      <c r="AE826" s="200">
        <f t="shared" ref="AE826:AE833" si="890">AF826/AD826</f>
        <v>30</v>
      </c>
      <c r="AF826" s="167">
        <f t="shared" si="882"/>
        <v>59225</v>
      </c>
      <c r="AG826" s="67"/>
    </row>
    <row r="827" spans="1:33">
      <c r="A827" s="134"/>
      <c r="B827" s="153">
        <v>8</v>
      </c>
      <c r="C827" s="245" t="s">
        <v>1389</v>
      </c>
      <c r="D827" s="245" t="s">
        <v>1403</v>
      </c>
      <c r="E827" s="264">
        <f>$D$857</f>
        <v>220780</v>
      </c>
      <c r="F827" s="164">
        <v>6</v>
      </c>
      <c r="G827" s="164">
        <v>7</v>
      </c>
      <c r="H827" s="164">
        <v>12</v>
      </c>
      <c r="I827" s="164">
        <f t="shared" ref="I827:K827" si="891">$E827*F827</f>
        <v>1324680</v>
      </c>
      <c r="J827" s="164">
        <f t="shared" si="891"/>
        <v>1545460</v>
      </c>
      <c r="K827" s="164">
        <f t="shared" si="891"/>
        <v>2649360</v>
      </c>
      <c r="L827" s="111" t="s">
        <v>1404</v>
      </c>
      <c r="M827" s="111"/>
      <c r="N827" s="111"/>
      <c r="O827" s="111"/>
      <c r="P827" s="111"/>
      <c r="Q827" s="111"/>
      <c r="R827" s="111"/>
      <c r="S827" s="712"/>
      <c r="T827" s="169" t="s">
        <v>946</v>
      </c>
      <c r="U827" s="169" t="s">
        <v>946</v>
      </c>
      <c r="V827" s="121" t="s">
        <v>1392</v>
      </c>
      <c r="W827" s="164" t="s">
        <v>789</v>
      </c>
      <c r="X827" s="170">
        <f>$E$827</f>
        <v>220780</v>
      </c>
      <c r="Y827" s="200">
        <f t="shared" si="888"/>
        <v>6</v>
      </c>
      <c r="Z827" s="167">
        <f t="shared" si="878"/>
        <v>1324680</v>
      </c>
      <c r="AA827" s="170">
        <f>$E$827</f>
        <v>220780</v>
      </c>
      <c r="AB827" s="200">
        <f t="shared" si="889"/>
        <v>7</v>
      </c>
      <c r="AC827" s="167">
        <f t="shared" si="880"/>
        <v>1545460</v>
      </c>
      <c r="AD827" s="170">
        <f>$E$827</f>
        <v>220780</v>
      </c>
      <c r="AE827" s="200">
        <f t="shared" si="890"/>
        <v>12</v>
      </c>
      <c r="AF827" s="167">
        <f t="shared" si="882"/>
        <v>2649360</v>
      </c>
      <c r="AG827" s="67"/>
    </row>
    <row r="828" spans="1:33">
      <c r="A828" s="134"/>
      <c r="B828" s="153">
        <v>9</v>
      </c>
      <c r="C828" s="245" t="s">
        <v>1393</v>
      </c>
      <c r="D828" s="245" t="s">
        <v>1405</v>
      </c>
      <c r="E828" s="264">
        <v>27000</v>
      </c>
      <c r="F828" s="164">
        <v>6</v>
      </c>
      <c r="G828" s="164">
        <v>7</v>
      </c>
      <c r="H828" s="164">
        <v>12</v>
      </c>
      <c r="I828" s="164">
        <f t="shared" ref="I828:K828" si="892">$E828*F828</f>
        <v>162000</v>
      </c>
      <c r="J828" s="164">
        <f t="shared" si="892"/>
        <v>189000</v>
      </c>
      <c r="K828" s="164">
        <f t="shared" si="892"/>
        <v>324000</v>
      </c>
      <c r="L828" s="111" t="s">
        <v>1404</v>
      </c>
      <c r="M828" s="111"/>
      <c r="N828" s="111"/>
      <c r="O828" s="111"/>
      <c r="P828" s="111"/>
      <c r="Q828" s="111"/>
      <c r="R828" s="111"/>
      <c r="S828" s="712"/>
      <c r="T828" s="169" t="s">
        <v>946</v>
      </c>
      <c r="U828" s="169" t="s">
        <v>946</v>
      </c>
      <c r="V828" s="121" t="s">
        <v>848</v>
      </c>
      <c r="W828" s="164" t="s">
        <v>947</v>
      </c>
      <c r="X828" s="170">
        <f>'Assumptions TRC_AUN'!$E$33</f>
        <v>3334</v>
      </c>
      <c r="Y828" s="200">
        <f t="shared" si="888"/>
        <v>48.590281943611281</v>
      </c>
      <c r="Z828" s="167">
        <f t="shared" si="878"/>
        <v>162000</v>
      </c>
      <c r="AA828" s="170">
        <f>'Assumptions TRC_AUN'!$E$33</f>
        <v>3334</v>
      </c>
      <c r="AB828" s="200">
        <f t="shared" si="889"/>
        <v>56.688662267546491</v>
      </c>
      <c r="AC828" s="167">
        <f t="shared" si="880"/>
        <v>189000</v>
      </c>
      <c r="AD828" s="170">
        <f>'Assumptions TRC_AUN'!$E$33</f>
        <v>3334</v>
      </c>
      <c r="AE828" s="200">
        <f t="shared" si="890"/>
        <v>97.180563887222561</v>
      </c>
      <c r="AF828" s="167">
        <f t="shared" si="882"/>
        <v>324000</v>
      </c>
      <c r="AG828" s="67"/>
    </row>
    <row r="829" spans="1:33">
      <c r="A829" s="134"/>
      <c r="B829" s="153">
        <v>10</v>
      </c>
      <c r="C829" s="245" t="s">
        <v>1395</v>
      </c>
      <c r="D829" s="245" t="s">
        <v>1406</v>
      </c>
      <c r="E829" s="264">
        <f>$D$54</f>
        <v>69950</v>
      </c>
      <c r="F829" s="164">
        <f>6*8</f>
        <v>48</v>
      </c>
      <c r="G829" s="164">
        <f>7*8</f>
        <v>56</v>
      </c>
      <c r="H829" s="164">
        <f>12*8</f>
        <v>96</v>
      </c>
      <c r="I829" s="164">
        <f t="shared" ref="I829:K829" si="893">$E829*F829</f>
        <v>3357600</v>
      </c>
      <c r="J829" s="164">
        <f t="shared" si="893"/>
        <v>3917200</v>
      </c>
      <c r="K829" s="164">
        <f t="shared" si="893"/>
        <v>6715200</v>
      </c>
      <c r="L829" s="111" t="s">
        <v>1404</v>
      </c>
      <c r="M829" s="111"/>
      <c r="N829" s="111"/>
      <c r="O829" s="111"/>
      <c r="P829" s="111"/>
      <c r="Q829" s="111"/>
      <c r="R829" s="111"/>
      <c r="S829" s="712"/>
      <c r="T829" s="169" t="s">
        <v>946</v>
      </c>
      <c r="U829" s="169" t="s">
        <v>946</v>
      </c>
      <c r="V829" s="121" t="s">
        <v>1392</v>
      </c>
      <c r="W829" s="164" t="s">
        <v>789</v>
      </c>
      <c r="X829" s="170">
        <f>$E$829</f>
        <v>69950</v>
      </c>
      <c r="Y829" s="200">
        <f t="shared" si="888"/>
        <v>48</v>
      </c>
      <c r="Z829" s="167">
        <f t="shared" si="878"/>
        <v>3357600</v>
      </c>
      <c r="AA829" s="170">
        <f>$E$829</f>
        <v>69950</v>
      </c>
      <c r="AB829" s="200">
        <f t="shared" si="889"/>
        <v>56</v>
      </c>
      <c r="AC829" s="167">
        <f t="shared" si="880"/>
        <v>3917200</v>
      </c>
      <c r="AD829" s="170">
        <f>$E$829</f>
        <v>69950</v>
      </c>
      <c r="AE829" s="200">
        <f t="shared" si="890"/>
        <v>96</v>
      </c>
      <c r="AF829" s="167">
        <f t="shared" si="882"/>
        <v>6715200</v>
      </c>
      <c r="AG829" s="67"/>
    </row>
    <row r="830" spans="1:33">
      <c r="A830" s="134"/>
      <c r="B830" s="153">
        <v>11</v>
      </c>
      <c r="C830" s="245" t="s">
        <v>1397</v>
      </c>
      <c r="D830" s="245" t="s">
        <v>1407</v>
      </c>
      <c r="E830" s="264">
        <v>19500</v>
      </c>
      <c r="F830" s="164">
        <v>0</v>
      </c>
      <c r="G830" s="164">
        <v>0</v>
      </c>
      <c r="H830" s="164">
        <v>13</v>
      </c>
      <c r="I830" s="164">
        <f t="shared" ref="I830:K830" si="894">$E830*F830</f>
        <v>0</v>
      </c>
      <c r="J830" s="164">
        <f t="shared" si="894"/>
        <v>0</v>
      </c>
      <c r="K830" s="164">
        <f t="shared" si="894"/>
        <v>253500</v>
      </c>
      <c r="L830" s="111" t="s">
        <v>1404</v>
      </c>
      <c r="M830" s="111"/>
      <c r="N830" s="111"/>
      <c r="O830" s="111"/>
      <c r="P830" s="111"/>
      <c r="Q830" s="111"/>
      <c r="R830" s="111"/>
      <c r="S830" s="712"/>
      <c r="T830" s="169" t="s">
        <v>946</v>
      </c>
      <c r="U830" s="169" t="s">
        <v>946</v>
      </c>
      <c r="V830" s="121" t="s">
        <v>848</v>
      </c>
      <c r="W830" s="164" t="s">
        <v>947</v>
      </c>
      <c r="X830" s="170">
        <f>'Assumptions TRC_AUN'!$E$33</f>
        <v>3334</v>
      </c>
      <c r="Y830" s="200">
        <f t="shared" si="888"/>
        <v>0</v>
      </c>
      <c r="Z830" s="167">
        <f t="shared" si="878"/>
        <v>0</v>
      </c>
      <c r="AA830" s="170">
        <f>'Assumptions TRC_AUN'!$E$33</f>
        <v>3334</v>
      </c>
      <c r="AB830" s="200">
        <f t="shared" si="889"/>
        <v>0</v>
      </c>
      <c r="AC830" s="167">
        <f t="shared" si="880"/>
        <v>0</v>
      </c>
      <c r="AD830" s="170">
        <f>'Assumptions TRC_AUN'!$E$33</f>
        <v>3334</v>
      </c>
      <c r="AE830" s="200">
        <f t="shared" si="890"/>
        <v>76.034793041391723</v>
      </c>
      <c r="AF830" s="167">
        <f t="shared" si="882"/>
        <v>253500</v>
      </c>
      <c r="AG830" s="67"/>
    </row>
    <row r="831" spans="1:33">
      <c r="A831" s="134"/>
      <c r="B831" s="153">
        <v>12</v>
      </c>
      <c r="C831" s="245" t="s">
        <v>1399</v>
      </c>
      <c r="D831" s="245" t="s">
        <v>1400</v>
      </c>
      <c r="E831" s="264">
        <f>'Assumptions TRC_AUN'!$J$90</f>
        <v>10982.125</v>
      </c>
      <c r="F831" s="164">
        <v>6</v>
      </c>
      <c r="G831" s="164">
        <v>7</v>
      </c>
      <c r="H831" s="164">
        <v>12</v>
      </c>
      <c r="I831" s="164">
        <f t="shared" ref="I831:K831" si="895">$E831*F831</f>
        <v>65892.75</v>
      </c>
      <c r="J831" s="164">
        <f t="shared" si="895"/>
        <v>76874.875</v>
      </c>
      <c r="K831" s="164">
        <f t="shared" si="895"/>
        <v>131785.5</v>
      </c>
      <c r="L831" s="111" t="s">
        <v>1404</v>
      </c>
      <c r="M831" s="111"/>
      <c r="N831" s="111"/>
      <c r="O831" s="111"/>
      <c r="P831" s="111"/>
      <c r="Q831" s="111"/>
      <c r="R831" s="111"/>
      <c r="S831" s="712"/>
      <c r="T831" s="169" t="s">
        <v>946</v>
      </c>
      <c r="U831" s="169" t="s">
        <v>946</v>
      </c>
      <c r="V831" s="121" t="s">
        <v>950</v>
      </c>
      <c r="W831" s="121" t="s">
        <v>951</v>
      </c>
      <c r="X831" s="170">
        <f>'Assumptions TRC_AUN'!$J$91</f>
        <v>549.10625000000005</v>
      </c>
      <c r="Y831" s="200">
        <f t="shared" si="888"/>
        <v>119.99999999999999</v>
      </c>
      <c r="Z831" s="167">
        <f t="shared" si="878"/>
        <v>65892.75</v>
      </c>
      <c r="AA831" s="170">
        <f>'Assumptions TRC_AUN'!$J$91</f>
        <v>549.10625000000005</v>
      </c>
      <c r="AB831" s="200">
        <f t="shared" si="889"/>
        <v>140</v>
      </c>
      <c r="AC831" s="167">
        <f t="shared" si="880"/>
        <v>76874.875</v>
      </c>
      <c r="AD831" s="170">
        <f>'Assumptions TRC_AUN'!$J$91</f>
        <v>549.10625000000005</v>
      </c>
      <c r="AE831" s="200">
        <f t="shared" si="890"/>
        <v>239.99999999999997</v>
      </c>
      <c r="AF831" s="167">
        <f t="shared" si="882"/>
        <v>131785.5</v>
      </c>
      <c r="AG831" s="67"/>
    </row>
    <row r="832" spans="1:33">
      <c r="A832" s="134"/>
      <c r="B832" s="153">
        <v>13</v>
      </c>
      <c r="C832" s="245" t="s">
        <v>1408</v>
      </c>
      <c r="D832" s="245" t="s">
        <v>1409</v>
      </c>
      <c r="E832" s="264">
        <v>54000</v>
      </c>
      <c r="F832" s="164">
        <v>12</v>
      </c>
      <c r="G832" s="164">
        <v>12</v>
      </c>
      <c r="H832" s="164">
        <v>12</v>
      </c>
      <c r="I832" s="164">
        <f t="shared" ref="I832:I833" si="896">$E832*F832</f>
        <v>648000</v>
      </c>
      <c r="J832" s="164">
        <f t="shared" ref="J832:K832" si="897">$E832*G832*G818</f>
        <v>822960</v>
      </c>
      <c r="K832" s="164">
        <f t="shared" si="897"/>
        <v>965520</v>
      </c>
      <c r="L832" s="111" t="s">
        <v>1404</v>
      </c>
      <c r="M832" s="111"/>
      <c r="N832" s="111"/>
      <c r="O832" s="111"/>
      <c r="P832" s="111"/>
      <c r="Q832" s="111"/>
      <c r="R832" s="111"/>
      <c r="S832" s="712"/>
      <c r="T832" s="169" t="s">
        <v>946</v>
      </c>
      <c r="U832" s="169" t="s">
        <v>946</v>
      </c>
      <c r="V832" s="121" t="s">
        <v>882</v>
      </c>
      <c r="W832" s="164" t="s">
        <v>789</v>
      </c>
      <c r="X832" s="170">
        <f>$E$832</f>
        <v>54000</v>
      </c>
      <c r="Y832" s="200">
        <f t="shared" si="888"/>
        <v>12</v>
      </c>
      <c r="Z832" s="167">
        <f t="shared" si="878"/>
        <v>648000</v>
      </c>
      <c r="AA832" s="170">
        <f>$E$832*$G$818</f>
        <v>68580</v>
      </c>
      <c r="AB832" s="200">
        <f t="shared" si="889"/>
        <v>12</v>
      </c>
      <c r="AC832" s="167">
        <f t="shared" si="880"/>
        <v>822960</v>
      </c>
      <c r="AD832" s="170">
        <f>$E$832*$H$818</f>
        <v>80460</v>
      </c>
      <c r="AE832" s="200">
        <f t="shared" si="890"/>
        <v>12</v>
      </c>
      <c r="AF832" s="167">
        <f t="shared" si="882"/>
        <v>965520</v>
      </c>
      <c r="AG832" s="67"/>
    </row>
    <row r="833" spans="1:33">
      <c r="A833" s="134"/>
      <c r="B833" s="153">
        <v>14</v>
      </c>
      <c r="C833" s="245" t="s">
        <v>1401</v>
      </c>
      <c r="D833" s="245" t="s">
        <v>1402</v>
      </c>
      <c r="E833" s="264">
        <f>'Assumptions TRC_AUN'!$I$185</f>
        <v>11845</v>
      </c>
      <c r="F833" s="164">
        <v>6</v>
      </c>
      <c r="G833" s="164">
        <v>7</v>
      </c>
      <c r="H833" s="164">
        <v>10</v>
      </c>
      <c r="I833" s="164">
        <f t="shared" si="896"/>
        <v>71070</v>
      </c>
      <c r="J833" s="164">
        <f t="shared" ref="J833:K833" si="898">$E833*G833</f>
        <v>82915</v>
      </c>
      <c r="K833" s="164">
        <f t="shared" si="898"/>
        <v>118450</v>
      </c>
      <c r="L833" s="111" t="s">
        <v>1404</v>
      </c>
      <c r="M833" s="111"/>
      <c r="N833" s="111"/>
      <c r="O833" s="111"/>
      <c r="P833" s="111"/>
      <c r="Q833" s="111"/>
      <c r="R833" s="111"/>
      <c r="S833" s="712"/>
      <c r="T833" s="169" t="s">
        <v>946</v>
      </c>
      <c r="U833" s="169" t="s">
        <v>946</v>
      </c>
      <c r="V833" s="121" t="s">
        <v>809</v>
      </c>
      <c r="W833" s="121" t="s">
        <v>791</v>
      </c>
      <c r="X833" s="170">
        <f>'Assumptions TRC_AUN'!$I$186</f>
        <v>1974.1666666666667</v>
      </c>
      <c r="Y833" s="200">
        <f t="shared" si="888"/>
        <v>36</v>
      </c>
      <c r="Z833" s="167">
        <f t="shared" si="878"/>
        <v>71070</v>
      </c>
      <c r="AA833" s="170">
        <f>'Assumptions TRC_AUN'!$I$186</f>
        <v>1974.1666666666667</v>
      </c>
      <c r="AB833" s="200">
        <f t="shared" si="889"/>
        <v>42</v>
      </c>
      <c r="AC833" s="167">
        <f t="shared" si="880"/>
        <v>82915</v>
      </c>
      <c r="AD833" s="170">
        <f>'Assumptions TRC_AUN'!$I$186</f>
        <v>1974.1666666666667</v>
      </c>
      <c r="AE833" s="200">
        <f t="shared" si="890"/>
        <v>60</v>
      </c>
      <c r="AF833" s="167">
        <f t="shared" si="882"/>
        <v>118450</v>
      </c>
      <c r="AG833" s="67"/>
    </row>
    <row r="834" spans="1:33">
      <c r="A834" s="9"/>
      <c r="B834" s="111"/>
      <c r="C834" s="111"/>
      <c r="D834" s="111"/>
      <c r="E834" s="111"/>
      <c r="F834" s="111"/>
      <c r="G834" s="111"/>
      <c r="H834" s="151"/>
      <c r="I834" s="151"/>
      <c r="J834" s="151"/>
      <c r="K834" s="151"/>
      <c r="L834" s="111"/>
      <c r="M834" s="111"/>
      <c r="N834" s="111"/>
      <c r="O834" s="111"/>
      <c r="P834" s="111"/>
      <c r="Q834" s="111"/>
      <c r="R834" s="111"/>
      <c r="S834" s="712"/>
      <c r="T834" s="111"/>
      <c r="U834" s="111"/>
      <c r="V834" s="67"/>
      <c r="W834" s="111"/>
      <c r="X834" s="132"/>
      <c r="Y834" s="111"/>
      <c r="Z834" s="132">
        <f t="shared" si="878"/>
        <v>0</v>
      </c>
      <c r="AA834" s="111"/>
      <c r="AB834" s="111"/>
      <c r="AC834" s="191"/>
      <c r="AD834" s="111"/>
      <c r="AE834" s="111"/>
      <c r="AF834" s="191"/>
      <c r="AG834" s="67"/>
    </row>
    <row r="835" spans="1:33">
      <c r="A835" s="9"/>
      <c r="B835" s="111"/>
      <c r="C835" s="111"/>
      <c r="D835" s="111"/>
      <c r="E835" s="111"/>
      <c r="F835" s="111"/>
      <c r="G835" s="111"/>
      <c r="H835" s="151"/>
      <c r="I835" s="151"/>
      <c r="J835" s="151"/>
      <c r="K835" s="151"/>
      <c r="L835" s="111"/>
      <c r="M835" s="111"/>
      <c r="N835" s="111"/>
      <c r="O835" s="111"/>
      <c r="P835" s="111"/>
      <c r="Q835" s="111"/>
      <c r="R835" s="111"/>
      <c r="S835" s="712"/>
      <c r="T835" s="111"/>
      <c r="U835" s="111"/>
      <c r="V835" s="67"/>
      <c r="W835" s="111"/>
      <c r="X835" s="132"/>
      <c r="Y835" s="111"/>
      <c r="Z835" s="111"/>
      <c r="AA835" s="111"/>
      <c r="AB835" s="111"/>
      <c r="AC835" s="111"/>
      <c r="AD835" s="111"/>
      <c r="AE835" s="111"/>
      <c r="AF835" s="111"/>
      <c r="AG835" s="67"/>
    </row>
    <row r="836" spans="1:33">
      <c r="A836" s="9"/>
      <c r="B836" s="903" t="s">
        <v>1410</v>
      </c>
      <c r="C836" s="904"/>
      <c r="D836" s="904"/>
      <c r="E836" s="111"/>
      <c r="F836" s="111"/>
      <c r="G836" s="111"/>
      <c r="H836" s="151"/>
      <c r="I836" s="151"/>
      <c r="J836" s="151"/>
      <c r="K836" s="151"/>
      <c r="L836" s="111"/>
      <c r="M836" s="111"/>
      <c r="N836" s="111"/>
      <c r="O836" s="111"/>
      <c r="P836" s="111"/>
      <c r="Q836" s="111"/>
      <c r="R836" s="111"/>
      <c r="S836" s="712"/>
      <c r="T836" s="111"/>
      <c r="U836" s="111"/>
      <c r="V836" s="67"/>
      <c r="W836" s="111"/>
      <c r="X836" s="132"/>
      <c r="Y836" s="111"/>
      <c r="Z836" s="111"/>
      <c r="AA836" s="111"/>
      <c r="AB836" s="111"/>
      <c r="AC836" s="111"/>
      <c r="AD836" s="111"/>
      <c r="AE836" s="111"/>
      <c r="AF836" s="111"/>
      <c r="AG836" s="67"/>
    </row>
    <row r="837" spans="1:33">
      <c r="A837" s="266"/>
      <c r="B837" s="113" t="s">
        <v>755</v>
      </c>
      <c r="C837" s="143" t="s">
        <v>894</v>
      </c>
      <c r="D837" s="143" t="s">
        <v>917</v>
      </c>
      <c r="E837" s="267"/>
      <c r="F837" s="267"/>
      <c r="G837" s="267"/>
      <c r="H837" s="268"/>
      <c r="I837" s="268"/>
      <c r="J837" s="268"/>
      <c r="K837" s="268"/>
      <c r="L837" s="267"/>
      <c r="M837" s="267"/>
      <c r="N837" s="267"/>
      <c r="O837" s="267"/>
      <c r="P837" s="267"/>
      <c r="Q837" s="267"/>
      <c r="R837" s="267"/>
      <c r="S837" s="733"/>
      <c r="T837" s="267"/>
      <c r="U837" s="267"/>
      <c r="V837" s="269"/>
      <c r="W837" s="267"/>
      <c r="X837" s="270"/>
      <c r="Y837" s="267"/>
      <c r="Z837" s="267"/>
      <c r="AA837" s="267"/>
      <c r="AB837" s="267"/>
      <c r="AC837" s="267"/>
      <c r="AD837" s="267"/>
      <c r="AE837" s="267"/>
      <c r="AF837" s="267"/>
      <c r="AG837" s="67"/>
    </row>
    <row r="838" spans="1:33">
      <c r="A838" s="134"/>
      <c r="B838" s="153">
        <v>1</v>
      </c>
      <c r="C838" s="154" t="s">
        <v>1411</v>
      </c>
      <c r="D838" s="144">
        <v>5812</v>
      </c>
      <c r="E838" s="111"/>
      <c r="F838" s="111"/>
      <c r="G838" s="111"/>
      <c r="H838" s="151"/>
      <c r="I838" s="151"/>
      <c r="J838" s="151"/>
      <c r="K838" s="151"/>
      <c r="L838" s="111"/>
      <c r="M838" s="111"/>
      <c r="N838" s="111"/>
      <c r="O838" s="111"/>
      <c r="P838" s="111"/>
      <c r="Q838" s="111"/>
      <c r="R838" s="111"/>
      <c r="S838" s="712"/>
      <c r="T838" s="111"/>
      <c r="U838" s="111"/>
      <c r="V838" s="67"/>
      <c r="W838" s="111"/>
      <c r="X838" s="132"/>
      <c r="Y838" s="111"/>
      <c r="Z838" s="111"/>
      <c r="AA838" s="111"/>
      <c r="AB838" s="111"/>
      <c r="AC838" s="111"/>
      <c r="AD838" s="111"/>
      <c r="AE838" s="111"/>
      <c r="AF838" s="111"/>
      <c r="AG838" s="67"/>
    </row>
    <row r="839" spans="1:33">
      <c r="A839" s="134"/>
      <c r="B839" s="153">
        <v>2</v>
      </c>
      <c r="C839" s="154" t="s">
        <v>1412</v>
      </c>
      <c r="D839" s="144">
        <v>11624</v>
      </c>
      <c r="E839" s="111"/>
      <c r="F839" s="111"/>
      <c r="G839" s="111"/>
      <c r="H839" s="151"/>
      <c r="I839" s="151"/>
      <c r="J839" s="151"/>
      <c r="K839" s="151"/>
      <c r="L839" s="111"/>
      <c r="M839" s="111"/>
      <c r="N839" s="111"/>
      <c r="O839" s="111"/>
      <c r="P839" s="111"/>
      <c r="Q839" s="111"/>
      <c r="R839" s="111"/>
      <c r="S839" s="712"/>
      <c r="T839" s="111"/>
      <c r="U839" s="111"/>
      <c r="V839" s="67"/>
      <c r="W839" s="111"/>
      <c r="X839" s="132"/>
      <c r="Y839" s="111"/>
      <c r="Z839" s="111"/>
      <c r="AA839" s="111"/>
      <c r="AB839" s="111"/>
      <c r="AC839" s="111"/>
      <c r="AD839" s="111"/>
      <c r="AE839" s="111"/>
      <c r="AF839" s="111"/>
      <c r="AG839" s="67"/>
    </row>
    <row r="840" spans="1:33">
      <c r="A840" s="134"/>
      <c r="B840" s="153">
        <v>3</v>
      </c>
      <c r="C840" s="154" t="s">
        <v>1413</v>
      </c>
      <c r="D840" s="144">
        <v>11624</v>
      </c>
      <c r="E840" s="111"/>
      <c r="F840" s="111"/>
      <c r="G840" s="111"/>
      <c r="H840" s="151"/>
      <c r="I840" s="151"/>
      <c r="J840" s="151"/>
      <c r="K840" s="151"/>
      <c r="L840" s="111"/>
      <c r="M840" s="111"/>
      <c r="N840" s="111"/>
      <c r="O840" s="111"/>
      <c r="P840" s="111"/>
      <c r="Q840" s="111"/>
      <c r="R840" s="111"/>
      <c r="S840" s="712"/>
      <c r="T840" s="111"/>
      <c r="U840" s="111"/>
      <c r="V840" s="67"/>
      <c r="W840" s="111"/>
      <c r="X840" s="132"/>
      <c r="Y840" s="111"/>
      <c r="Z840" s="111"/>
      <c r="AA840" s="111"/>
      <c r="AB840" s="111"/>
      <c r="AC840" s="111"/>
      <c r="AD840" s="111"/>
      <c r="AE840" s="111"/>
      <c r="AF840" s="111"/>
      <c r="AG840" s="67"/>
    </row>
    <row r="841" spans="1:33">
      <c r="A841" s="134"/>
      <c r="B841" s="153">
        <v>4</v>
      </c>
      <c r="C841" s="154" t="s">
        <v>1414</v>
      </c>
      <c r="D841" s="144">
        <v>19373</v>
      </c>
      <c r="E841" s="111"/>
      <c r="F841" s="111"/>
      <c r="G841" s="111"/>
      <c r="H841" s="151"/>
      <c r="I841" s="151"/>
      <c r="J841" s="151"/>
      <c r="K841" s="151"/>
      <c r="L841" s="111"/>
      <c r="M841" s="111"/>
      <c r="N841" s="111"/>
      <c r="O841" s="111"/>
      <c r="P841" s="111"/>
      <c r="Q841" s="111"/>
      <c r="R841" s="111"/>
      <c r="S841" s="712"/>
      <c r="T841" s="111"/>
      <c r="U841" s="111"/>
      <c r="V841" s="67"/>
      <c r="W841" s="111"/>
      <c r="X841" s="132"/>
      <c r="Y841" s="111"/>
      <c r="Z841" s="111"/>
      <c r="AA841" s="111"/>
      <c r="AB841" s="111"/>
      <c r="AC841" s="111"/>
      <c r="AD841" s="111"/>
      <c r="AE841" s="111"/>
      <c r="AF841" s="111"/>
      <c r="AG841" s="67"/>
    </row>
    <row r="842" spans="1:33">
      <c r="A842" s="134"/>
      <c r="B842" s="153">
        <v>5</v>
      </c>
      <c r="C842" s="154" t="s">
        <v>1415</v>
      </c>
      <c r="D842" s="144">
        <v>16790</v>
      </c>
      <c r="E842" s="111"/>
      <c r="F842" s="111"/>
      <c r="G842" s="111"/>
      <c r="H842" s="151"/>
      <c r="I842" s="151"/>
      <c r="J842" s="151"/>
      <c r="K842" s="151"/>
      <c r="L842" s="111"/>
      <c r="M842" s="111"/>
      <c r="N842" s="111"/>
      <c r="O842" s="111"/>
      <c r="P842" s="111"/>
      <c r="Q842" s="111"/>
      <c r="R842" s="111"/>
      <c r="S842" s="712"/>
      <c r="T842" s="111"/>
      <c r="U842" s="111"/>
      <c r="V842" s="67"/>
      <c r="W842" s="111"/>
      <c r="X842" s="132"/>
      <c r="Y842" s="111"/>
      <c r="Z842" s="111"/>
      <c r="AA842" s="111"/>
      <c r="AB842" s="111"/>
      <c r="AC842" s="111"/>
      <c r="AD842" s="111"/>
      <c r="AE842" s="111"/>
      <c r="AF842" s="111"/>
      <c r="AG842" s="67"/>
    </row>
    <row r="843" spans="1:33">
      <c r="A843" s="134"/>
      <c r="B843" s="153">
        <v>6</v>
      </c>
      <c r="C843" s="154" t="s">
        <v>1416</v>
      </c>
      <c r="D843" s="144">
        <v>25831</v>
      </c>
      <c r="E843" s="111"/>
      <c r="F843" s="111"/>
      <c r="G843" s="111"/>
      <c r="H843" s="151"/>
      <c r="I843" s="151"/>
      <c r="J843" s="151"/>
      <c r="K843" s="151"/>
      <c r="L843" s="111"/>
      <c r="M843" s="111"/>
      <c r="N843" s="111"/>
      <c r="O843" s="111"/>
      <c r="P843" s="111"/>
      <c r="Q843" s="111"/>
      <c r="R843" s="111"/>
      <c r="S843" s="712"/>
      <c r="T843" s="111"/>
      <c r="U843" s="111"/>
      <c r="V843" s="67"/>
      <c r="W843" s="111"/>
      <c r="X843" s="132"/>
      <c r="Y843" s="111"/>
      <c r="Z843" s="111"/>
      <c r="AA843" s="111"/>
      <c r="AB843" s="111"/>
      <c r="AC843" s="111"/>
      <c r="AD843" s="111"/>
      <c r="AE843" s="111"/>
      <c r="AF843" s="111"/>
      <c r="AG843" s="67"/>
    </row>
    <row r="844" spans="1:33">
      <c r="A844" s="134"/>
      <c r="B844" s="153">
        <v>7</v>
      </c>
      <c r="C844" s="154" t="s">
        <v>1417</v>
      </c>
      <c r="D844" s="144">
        <v>72325</v>
      </c>
      <c r="E844" s="111"/>
      <c r="F844" s="111"/>
      <c r="G844" s="111"/>
      <c r="H844" s="151"/>
      <c r="I844" s="151"/>
      <c r="J844" s="151"/>
      <c r="K844" s="151"/>
      <c r="L844" s="111"/>
      <c r="M844" s="111"/>
      <c r="N844" s="111"/>
      <c r="O844" s="111"/>
      <c r="P844" s="111"/>
      <c r="Q844" s="111"/>
      <c r="R844" s="111"/>
      <c r="S844" s="712"/>
      <c r="T844" s="111"/>
      <c r="U844" s="111"/>
      <c r="V844" s="67"/>
      <c r="W844" s="111"/>
      <c r="X844" s="132"/>
      <c r="Y844" s="111"/>
      <c r="Z844" s="111"/>
      <c r="AA844" s="111"/>
      <c r="AB844" s="111"/>
      <c r="AC844" s="111"/>
      <c r="AD844" s="111"/>
      <c r="AE844" s="111"/>
      <c r="AF844" s="111"/>
      <c r="AG844" s="67"/>
    </row>
    <row r="845" spans="1:33">
      <c r="A845" s="134"/>
      <c r="B845" s="905" t="s">
        <v>770</v>
      </c>
      <c r="C845" s="896"/>
      <c r="D845" s="271">
        <f>SUM(D838:D844)</f>
        <v>163379</v>
      </c>
      <c r="E845" s="111"/>
      <c r="F845" s="111"/>
      <c r="G845" s="111"/>
      <c r="H845" s="151"/>
      <c r="I845" s="151"/>
      <c r="J845" s="151"/>
      <c r="K845" s="151"/>
      <c r="L845" s="111"/>
      <c r="M845" s="111"/>
      <c r="N845" s="111"/>
      <c r="O845" s="111"/>
      <c r="P845" s="111"/>
      <c r="Q845" s="111"/>
      <c r="R845" s="111"/>
      <c r="S845" s="712"/>
      <c r="T845" s="111"/>
      <c r="U845" s="111"/>
      <c r="V845" s="67"/>
      <c r="W845" s="111"/>
      <c r="X845" s="132"/>
      <c r="Y845" s="111"/>
      <c r="Z845" s="111"/>
      <c r="AA845" s="111"/>
      <c r="AB845" s="111"/>
      <c r="AC845" s="111"/>
      <c r="AD845" s="111"/>
      <c r="AE845" s="111"/>
      <c r="AF845" s="111"/>
      <c r="AG845" s="67"/>
    </row>
    <row r="846" spans="1:33">
      <c r="A846" s="9"/>
      <c r="B846" s="111"/>
      <c r="C846" s="111"/>
      <c r="D846" s="111"/>
      <c r="E846" s="111"/>
      <c r="F846" s="111"/>
      <c r="G846" s="111"/>
      <c r="H846" s="151"/>
      <c r="I846" s="151"/>
      <c r="J846" s="151"/>
      <c r="K846" s="151"/>
      <c r="L846" s="111"/>
      <c r="M846" s="111"/>
      <c r="N846" s="111"/>
      <c r="O846" s="111"/>
      <c r="P846" s="111"/>
      <c r="Q846" s="111"/>
      <c r="R846" s="111"/>
      <c r="S846" s="712"/>
      <c r="T846" s="111"/>
      <c r="U846" s="111"/>
      <c r="V846" s="67"/>
      <c r="W846" s="111"/>
      <c r="X846" s="132"/>
      <c r="Y846" s="111"/>
      <c r="Z846" s="111"/>
      <c r="AA846" s="111"/>
      <c r="AB846" s="111"/>
      <c r="AC846" s="111"/>
      <c r="AD846" s="111"/>
      <c r="AE846" s="111"/>
      <c r="AF846" s="111"/>
      <c r="AG846" s="67"/>
    </row>
    <row r="847" spans="1:33">
      <c r="A847" s="9"/>
      <c r="B847" s="903" t="s">
        <v>1418</v>
      </c>
      <c r="C847" s="904"/>
      <c r="D847" s="904"/>
      <c r="E847" s="111"/>
      <c r="F847" s="111"/>
      <c r="G847" s="111"/>
      <c r="H847" s="151"/>
      <c r="I847" s="151"/>
      <c r="J847" s="151"/>
      <c r="K847" s="151"/>
      <c r="L847" s="111"/>
      <c r="M847" s="111"/>
      <c r="N847" s="111"/>
      <c r="O847" s="111"/>
      <c r="P847" s="111"/>
      <c r="Q847" s="111"/>
      <c r="R847" s="111"/>
      <c r="S847" s="712"/>
      <c r="T847" s="111"/>
      <c r="U847" s="111"/>
      <c r="V847" s="67"/>
      <c r="W847" s="111"/>
      <c r="X847" s="132"/>
      <c r="Y847" s="111"/>
      <c r="Z847" s="111"/>
      <c r="AA847" s="111"/>
      <c r="AB847" s="111"/>
      <c r="AC847" s="111"/>
      <c r="AD847" s="111"/>
      <c r="AE847" s="111"/>
      <c r="AF847" s="111"/>
      <c r="AG847" s="67"/>
    </row>
    <row r="848" spans="1:33">
      <c r="A848" s="134"/>
      <c r="B848" s="272" t="s">
        <v>755</v>
      </c>
      <c r="C848" s="143" t="s">
        <v>894</v>
      </c>
      <c r="D848" s="143" t="s">
        <v>917</v>
      </c>
      <c r="E848" s="111"/>
      <c r="F848" s="111"/>
      <c r="G848" s="111"/>
      <c r="H848" s="151"/>
      <c r="I848" s="151"/>
      <c r="J848" s="151"/>
      <c r="K848" s="151"/>
      <c r="L848" s="111"/>
      <c r="M848" s="111"/>
      <c r="N848" s="111"/>
      <c r="O848" s="111"/>
      <c r="P848" s="111"/>
      <c r="Q848" s="111"/>
      <c r="R848" s="111"/>
      <c r="S848" s="712"/>
      <c r="T848" s="111"/>
      <c r="U848" s="111"/>
      <c r="V848" s="67"/>
      <c r="W848" s="111"/>
      <c r="X848" s="132"/>
      <c r="Y848" s="111"/>
      <c r="Z848" s="111"/>
      <c r="AA848" s="111"/>
      <c r="AB848" s="111"/>
      <c r="AC848" s="111"/>
      <c r="AD848" s="111"/>
      <c r="AE848" s="111"/>
      <c r="AF848" s="111"/>
      <c r="AG848" s="67"/>
    </row>
    <row r="849" spans="1:33">
      <c r="A849" s="134"/>
      <c r="B849" s="153">
        <v>1</v>
      </c>
      <c r="C849" s="154" t="s">
        <v>1411</v>
      </c>
      <c r="D849" s="144">
        <v>5812</v>
      </c>
      <c r="E849" s="111"/>
      <c r="F849" s="111"/>
      <c r="G849" s="111"/>
      <c r="H849" s="151"/>
      <c r="I849" s="151"/>
      <c r="J849" s="151"/>
      <c r="K849" s="151"/>
      <c r="L849" s="111"/>
      <c r="M849" s="111"/>
      <c r="N849" s="111"/>
      <c r="O849" s="111"/>
      <c r="P849" s="111"/>
      <c r="Q849" s="111"/>
      <c r="R849" s="111"/>
      <c r="S849" s="712"/>
      <c r="T849" s="111"/>
      <c r="U849" s="111"/>
      <c r="V849" s="67"/>
      <c r="W849" s="111"/>
      <c r="X849" s="132"/>
      <c r="Y849" s="111"/>
      <c r="Z849" s="111"/>
      <c r="AA849" s="111"/>
      <c r="AB849" s="111"/>
      <c r="AC849" s="111"/>
      <c r="AD849" s="111"/>
      <c r="AE849" s="111"/>
      <c r="AF849" s="111"/>
      <c r="AG849" s="67"/>
    </row>
    <row r="850" spans="1:33">
      <c r="A850" s="134"/>
      <c r="B850" s="153">
        <v>2</v>
      </c>
      <c r="C850" s="154" t="s">
        <v>1419</v>
      </c>
      <c r="D850" s="144">
        <v>57401</v>
      </c>
      <c r="E850" s="111"/>
      <c r="F850" s="111"/>
      <c r="G850" s="111"/>
      <c r="H850" s="151"/>
      <c r="I850" s="151"/>
      <c r="J850" s="151"/>
      <c r="K850" s="151"/>
      <c r="L850" s="111"/>
      <c r="M850" s="111"/>
      <c r="N850" s="111"/>
      <c r="O850" s="111"/>
      <c r="P850" s="111"/>
      <c r="Q850" s="111"/>
      <c r="R850" s="111"/>
      <c r="S850" s="712"/>
      <c r="T850" s="111"/>
      <c r="U850" s="111"/>
      <c r="V850" s="67"/>
      <c r="W850" s="111"/>
      <c r="X850" s="132"/>
      <c r="Y850" s="111"/>
      <c r="Z850" s="111"/>
      <c r="AA850" s="111"/>
      <c r="AB850" s="111"/>
      <c r="AC850" s="111"/>
      <c r="AD850" s="111"/>
      <c r="AE850" s="111"/>
      <c r="AF850" s="111"/>
      <c r="AG850" s="67"/>
    </row>
    <row r="851" spans="1:33">
      <c r="A851" s="134"/>
      <c r="B851" s="153">
        <v>3</v>
      </c>
      <c r="C851" s="154" t="s">
        <v>1412</v>
      </c>
      <c r="D851" s="144">
        <v>11624</v>
      </c>
      <c r="E851" s="111"/>
      <c r="F851" s="111"/>
      <c r="G851" s="111"/>
      <c r="H851" s="151"/>
      <c r="I851" s="151"/>
      <c r="J851" s="151"/>
      <c r="K851" s="151"/>
      <c r="L851" s="111"/>
      <c r="M851" s="111"/>
      <c r="N851" s="111"/>
      <c r="O851" s="111"/>
      <c r="P851" s="111"/>
      <c r="Q851" s="111"/>
      <c r="R851" s="111"/>
      <c r="S851" s="712"/>
      <c r="T851" s="111"/>
      <c r="U851" s="111"/>
      <c r="V851" s="67"/>
      <c r="W851" s="111"/>
      <c r="X851" s="132"/>
      <c r="Y851" s="111"/>
      <c r="Z851" s="111"/>
      <c r="AA851" s="111"/>
      <c r="AB851" s="111"/>
      <c r="AC851" s="111"/>
      <c r="AD851" s="111"/>
      <c r="AE851" s="111"/>
      <c r="AF851" s="111"/>
      <c r="AG851" s="67"/>
    </row>
    <row r="852" spans="1:33">
      <c r="A852" s="134"/>
      <c r="B852" s="153">
        <v>4</v>
      </c>
      <c r="C852" s="154" t="s">
        <v>1413</v>
      </c>
      <c r="D852" s="144">
        <v>11624</v>
      </c>
      <c r="E852" s="111"/>
      <c r="F852" s="111"/>
      <c r="G852" s="111"/>
      <c r="H852" s="151"/>
      <c r="I852" s="151"/>
      <c r="J852" s="151"/>
      <c r="K852" s="151"/>
      <c r="L852" s="111"/>
      <c r="M852" s="111"/>
      <c r="N852" s="111"/>
      <c r="O852" s="111"/>
      <c r="P852" s="111"/>
      <c r="Q852" s="111"/>
      <c r="R852" s="111"/>
      <c r="S852" s="712"/>
      <c r="T852" s="111"/>
      <c r="U852" s="111"/>
      <c r="V852" s="67"/>
      <c r="W852" s="111"/>
      <c r="X852" s="132"/>
      <c r="Y852" s="111"/>
      <c r="Z852" s="111"/>
      <c r="AA852" s="111"/>
      <c r="AB852" s="111"/>
      <c r="AC852" s="111"/>
      <c r="AD852" s="111"/>
      <c r="AE852" s="111"/>
      <c r="AF852" s="111"/>
      <c r="AG852" s="67"/>
    </row>
    <row r="853" spans="1:33">
      <c r="A853" s="134"/>
      <c r="B853" s="153">
        <v>5</v>
      </c>
      <c r="C853" s="154" t="s">
        <v>1414</v>
      </c>
      <c r="D853" s="144">
        <v>19373</v>
      </c>
      <c r="E853" s="111"/>
      <c r="F853" s="111"/>
      <c r="G853" s="111"/>
      <c r="H853" s="151"/>
      <c r="I853" s="151"/>
      <c r="J853" s="151"/>
      <c r="K853" s="151"/>
      <c r="L853" s="111"/>
      <c r="M853" s="111"/>
      <c r="N853" s="111"/>
      <c r="O853" s="111"/>
      <c r="P853" s="111"/>
      <c r="Q853" s="111"/>
      <c r="R853" s="111"/>
      <c r="S853" s="712"/>
      <c r="T853" s="111"/>
      <c r="U853" s="111"/>
      <c r="V853" s="67"/>
      <c r="W853" s="111"/>
      <c r="X853" s="132"/>
      <c r="Y853" s="111"/>
      <c r="Z853" s="111"/>
      <c r="AA853" s="111"/>
      <c r="AB853" s="111"/>
      <c r="AC853" s="111"/>
      <c r="AD853" s="111"/>
      <c r="AE853" s="111"/>
      <c r="AF853" s="111"/>
      <c r="AG853" s="67"/>
    </row>
    <row r="854" spans="1:33">
      <c r="A854" s="134"/>
      <c r="B854" s="153">
        <v>6</v>
      </c>
      <c r="C854" s="154" t="s">
        <v>1415</v>
      </c>
      <c r="D854" s="144">
        <v>16790</v>
      </c>
      <c r="E854" s="111"/>
      <c r="F854" s="111"/>
      <c r="G854" s="111"/>
      <c r="H854" s="151"/>
      <c r="I854" s="151"/>
      <c r="J854" s="151"/>
      <c r="K854" s="151"/>
      <c r="L854" s="111"/>
      <c r="M854" s="111"/>
      <c r="N854" s="111"/>
      <c r="O854" s="111"/>
      <c r="P854" s="111"/>
      <c r="Q854" s="111"/>
      <c r="R854" s="111"/>
      <c r="S854" s="712"/>
      <c r="T854" s="111"/>
      <c r="U854" s="111"/>
      <c r="V854" s="67"/>
      <c r="W854" s="111"/>
      <c r="X854" s="132"/>
      <c r="Y854" s="111"/>
      <c r="Z854" s="111"/>
      <c r="AA854" s="111"/>
      <c r="AB854" s="111"/>
      <c r="AC854" s="111"/>
      <c r="AD854" s="111"/>
      <c r="AE854" s="111"/>
      <c r="AF854" s="111"/>
      <c r="AG854" s="67"/>
    </row>
    <row r="855" spans="1:33">
      <c r="A855" s="134"/>
      <c r="B855" s="153">
        <v>7</v>
      </c>
      <c r="C855" s="154" t="s">
        <v>1416</v>
      </c>
      <c r="D855" s="144">
        <v>25831</v>
      </c>
      <c r="E855" s="111"/>
      <c r="F855" s="111"/>
      <c r="G855" s="111"/>
      <c r="H855" s="151"/>
      <c r="I855" s="151"/>
      <c r="J855" s="151"/>
      <c r="K855" s="151"/>
      <c r="L855" s="111"/>
      <c r="M855" s="111"/>
      <c r="N855" s="111"/>
      <c r="O855" s="111"/>
      <c r="P855" s="111"/>
      <c r="Q855" s="111"/>
      <c r="R855" s="111"/>
      <c r="S855" s="712"/>
      <c r="T855" s="111"/>
      <c r="U855" s="111"/>
      <c r="V855" s="67"/>
      <c r="W855" s="111"/>
      <c r="X855" s="132"/>
      <c r="Y855" s="111"/>
      <c r="Z855" s="111"/>
      <c r="AA855" s="111"/>
      <c r="AB855" s="111"/>
      <c r="AC855" s="111"/>
      <c r="AD855" s="111"/>
      <c r="AE855" s="111"/>
      <c r="AF855" s="111"/>
      <c r="AG855" s="67"/>
    </row>
    <row r="856" spans="1:33">
      <c r="A856" s="134"/>
      <c r="B856" s="153">
        <v>8</v>
      </c>
      <c r="C856" s="154" t="s">
        <v>1417</v>
      </c>
      <c r="D856" s="144">
        <v>72325</v>
      </c>
      <c r="E856" s="111"/>
      <c r="F856" s="111"/>
      <c r="G856" s="111"/>
      <c r="H856" s="151"/>
      <c r="I856" s="151"/>
      <c r="J856" s="151"/>
      <c r="K856" s="151"/>
      <c r="L856" s="111"/>
      <c r="M856" s="111"/>
      <c r="N856" s="111"/>
      <c r="O856" s="111"/>
      <c r="P856" s="111"/>
      <c r="Q856" s="111"/>
      <c r="R856" s="111"/>
      <c r="S856" s="712"/>
      <c r="T856" s="111"/>
      <c r="U856" s="111"/>
      <c r="V856" s="67"/>
      <c r="W856" s="111"/>
      <c r="X856" s="132"/>
      <c r="Y856" s="111"/>
      <c r="Z856" s="111"/>
      <c r="AA856" s="111"/>
      <c r="AB856" s="111"/>
      <c r="AC856" s="111"/>
      <c r="AD856" s="111"/>
      <c r="AE856" s="111"/>
      <c r="AF856" s="111"/>
      <c r="AG856" s="67"/>
    </row>
    <row r="857" spans="1:33">
      <c r="A857" s="134"/>
      <c r="B857" s="905" t="s">
        <v>770</v>
      </c>
      <c r="C857" s="896"/>
      <c r="D857" s="271">
        <f>SUM(D849:D856)</f>
        <v>220780</v>
      </c>
      <c r="E857" s="111"/>
      <c r="F857" s="111"/>
      <c r="G857" s="111"/>
      <c r="H857" s="151"/>
      <c r="I857" s="151"/>
      <c r="J857" s="151"/>
      <c r="K857" s="151"/>
      <c r="L857" s="111"/>
      <c r="M857" s="111"/>
      <c r="N857" s="111"/>
      <c r="O857" s="111"/>
      <c r="P857" s="111"/>
      <c r="Q857" s="111"/>
      <c r="R857" s="111"/>
      <c r="S857" s="712"/>
      <c r="T857" s="111"/>
      <c r="U857" s="111"/>
      <c r="V857" s="67"/>
      <c r="W857" s="111"/>
      <c r="X857" s="132"/>
      <c r="Y857" s="111"/>
      <c r="Z857" s="111"/>
      <c r="AA857" s="111"/>
      <c r="AB857" s="111"/>
      <c r="AC857" s="111"/>
      <c r="AD857" s="111"/>
      <c r="AE857" s="111"/>
      <c r="AF857" s="111"/>
      <c r="AG857" s="67"/>
    </row>
    <row r="858" spans="1:33">
      <c r="A858" s="9"/>
      <c r="B858" s="111"/>
      <c r="C858" s="111"/>
      <c r="D858" s="111"/>
      <c r="E858" s="111"/>
      <c r="F858" s="111"/>
      <c r="G858" s="111"/>
      <c r="H858" s="151"/>
      <c r="I858" s="151"/>
      <c r="J858" s="151"/>
      <c r="K858" s="151"/>
      <c r="L858" s="111"/>
      <c r="M858" s="111"/>
      <c r="N858" s="111"/>
      <c r="O858" s="111"/>
      <c r="P858" s="111"/>
      <c r="Q858" s="111"/>
      <c r="R858" s="111"/>
      <c r="S858" s="712"/>
      <c r="T858" s="111"/>
      <c r="U858" s="111"/>
      <c r="V858" s="67"/>
      <c r="W858" s="111"/>
      <c r="X858" s="132"/>
      <c r="Y858" s="111"/>
      <c r="Z858" s="111"/>
      <c r="AA858" s="111"/>
      <c r="AB858" s="111"/>
      <c r="AC858" s="111"/>
      <c r="AD858" s="111"/>
      <c r="AE858" s="111"/>
      <c r="AF858" s="111"/>
      <c r="AG858" s="67"/>
    </row>
    <row r="859" spans="1:33">
      <c r="A859" s="9"/>
      <c r="B859" s="111"/>
      <c r="C859" s="111"/>
      <c r="D859" s="111"/>
      <c r="E859" s="111"/>
      <c r="F859" s="111"/>
      <c r="G859" s="111"/>
      <c r="H859" s="151"/>
      <c r="I859" s="151"/>
      <c r="J859" s="151"/>
      <c r="K859" s="151"/>
      <c r="L859" s="111"/>
      <c r="M859" s="111"/>
      <c r="N859" s="111"/>
      <c r="O859" s="111"/>
      <c r="P859" s="111"/>
      <c r="Q859" s="111"/>
      <c r="R859" s="111"/>
      <c r="S859" s="712"/>
      <c r="T859" s="111"/>
      <c r="U859" s="111"/>
      <c r="V859" s="67"/>
      <c r="W859" s="111"/>
      <c r="X859" s="132"/>
      <c r="Y859" s="111"/>
      <c r="Z859" s="111"/>
      <c r="AA859" s="111"/>
      <c r="AB859" s="111"/>
      <c r="AC859" s="111"/>
      <c r="AD859" s="111"/>
      <c r="AE859" s="111"/>
      <c r="AF859" s="111"/>
      <c r="AG859" s="67"/>
    </row>
    <row r="860" spans="1:33">
      <c r="A860" s="9"/>
      <c r="B860" s="111"/>
      <c r="C860" s="111"/>
      <c r="D860" s="111"/>
      <c r="E860" s="111"/>
      <c r="F860" s="111"/>
      <c r="G860" s="111"/>
      <c r="H860" s="151"/>
      <c r="I860" s="151"/>
      <c r="J860" s="151"/>
      <c r="K860" s="151"/>
      <c r="L860" s="111"/>
      <c r="M860" s="111"/>
      <c r="N860" s="111"/>
      <c r="O860" s="111"/>
      <c r="P860" s="111"/>
      <c r="Q860" s="111"/>
      <c r="R860" s="111"/>
      <c r="S860" s="712"/>
      <c r="T860" s="111"/>
      <c r="U860" s="111"/>
      <c r="V860" s="67"/>
      <c r="W860" s="111"/>
      <c r="X860" s="132"/>
      <c r="Y860" s="111"/>
      <c r="Z860" s="111"/>
      <c r="AA860" s="111"/>
      <c r="AB860" s="111"/>
      <c r="AC860" s="111"/>
      <c r="AD860" s="111"/>
      <c r="AE860" s="111"/>
      <c r="AF860" s="111"/>
      <c r="AG860" s="67"/>
    </row>
    <row r="861" spans="1:33">
      <c r="A861" s="725">
        <v>45</v>
      </c>
      <c r="B861" s="726" t="s">
        <v>1420</v>
      </c>
      <c r="C861" s="731"/>
      <c r="D861" s="731"/>
      <c r="E861" s="731"/>
      <c r="F861" s="731"/>
      <c r="G861" s="731">
        <v>1.27</v>
      </c>
      <c r="H861" s="731">
        <f>1.22+0.27</f>
        <v>1.49</v>
      </c>
      <c r="I861" s="731"/>
      <c r="J861" s="731"/>
      <c r="K861" s="731"/>
      <c r="L861" s="111"/>
      <c r="M861" s="111"/>
      <c r="N861" s="111"/>
      <c r="O861" s="111"/>
      <c r="P861" s="111"/>
      <c r="Q861" s="111"/>
      <c r="R861" s="111"/>
      <c r="S861" s="712"/>
      <c r="T861" s="111"/>
      <c r="U861" s="111"/>
      <c r="V861" s="67"/>
      <c r="W861" s="111"/>
      <c r="X861" s="132"/>
      <c r="Y861" s="111"/>
      <c r="Z861" s="111"/>
      <c r="AA861" s="111"/>
      <c r="AB861" s="111"/>
      <c r="AC861" s="111"/>
      <c r="AD861" s="111"/>
      <c r="AE861" s="111"/>
      <c r="AF861" s="111"/>
      <c r="AG861" s="67"/>
    </row>
    <row r="862" spans="1:33">
      <c r="A862" s="134"/>
      <c r="B862" s="113" t="s">
        <v>755</v>
      </c>
      <c r="C862" s="113" t="s">
        <v>1304</v>
      </c>
      <c r="D862" s="113" t="s">
        <v>1305</v>
      </c>
      <c r="E862" s="113" t="s">
        <v>1388</v>
      </c>
      <c r="F862" s="113" t="s">
        <v>1307</v>
      </c>
      <c r="G862" s="113" t="s">
        <v>1308</v>
      </c>
      <c r="H862" s="113" t="s">
        <v>1309</v>
      </c>
      <c r="I862" s="113" t="s">
        <v>972</v>
      </c>
      <c r="J862" s="113" t="s">
        <v>973</v>
      </c>
      <c r="K862" s="113" t="s">
        <v>974</v>
      </c>
      <c r="L862" s="111"/>
      <c r="M862" s="111"/>
      <c r="N862" s="111"/>
      <c r="O862" s="111"/>
      <c r="P862" s="111"/>
      <c r="Q862" s="111"/>
      <c r="R862" s="111"/>
      <c r="S862" s="712"/>
      <c r="T862" s="159" t="s">
        <v>387</v>
      </c>
      <c r="U862" s="159" t="s">
        <v>388</v>
      </c>
      <c r="V862" s="160" t="s">
        <v>934</v>
      </c>
      <c r="W862" s="160" t="s">
        <v>935</v>
      </c>
      <c r="X862" s="161" t="s">
        <v>936</v>
      </c>
      <c r="Y862" s="162" t="s">
        <v>937</v>
      </c>
      <c r="Z862" s="161" t="s">
        <v>938</v>
      </c>
      <c r="AA862" s="159" t="s">
        <v>939</v>
      </c>
      <c r="AB862" s="159" t="s">
        <v>940</v>
      </c>
      <c r="AC862" s="160" t="s">
        <v>941</v>
      </c>
      <c r="AD862" s="160" t="s">
        <v>942</v>
      </c>
      <c r="AE862" s="161" t="s">
        <v>943</v>
      </c>
      <c r="AF862" s="161" t="s">
        <v>944</v>
      </c>
      <c r="AG862" s="67"/>
    </row>
    <row r="863" spans="1:33">
      <c r="A863" s="134"/>
      <c r="B863" s="153">
        <v>1</v>
      </c>
      <c r="C863" s="245" t="s">
        <v>1421</v>
      </c>
      <c r="D863" s="245" t="s">
        <v>1422</v>
      </c>
      <c r="E863" s="264">
        <f>$D$845</f>
        <v>163379</v>
      </c>
      <c r="F863" s="164">
        <v>6</v>
      </c>
      <c r="G863" s="164">
        <v>7</v>
      </c>
      <c r="H863" s="164"/>
      <c r="I863" s="164">
        <f t="shared" ref="I863:K863" si="899">$E863*F863</f>
        <v>980274</v>
      </c>
      <c r="J863" s="164">
        <f t="shared" si="899"/>
        <v>1143653</v>
      </c>
      <c r="K863" s="164">
        <f t="shared" si="899"/>
        <v>0</v>
      </c>
      <c r="L863" s="111"/>
      <c r="M863" s="111"/>
      <c r="N863" s="111"/>
      <c r="O863" s="111"/>
      <c r="P863" s="111"/>
      <c r="Q863" s="111"/>
      <c r="R863" s="111"/>
      <c r="S863" s="712"/>
      <c r="T863" s="169" t="s">
        <v>946</v>
      </c>
      <c r="U863" s="169" t="s">
        <v>946</v>
      </c>
      <c r="V863" s="121" t="s">
        <v>848</v>
      </c>
      <c r="W863" s="164" t="s">
        <v>947</v>
      </c>
      <c r="X863" s="170">
        <f>'Assumptions TRC_AUN'!$E$33</f>
        <v>3334</v>
      </c>
      <c r="Y863" s="200">
        <f t="shared" ref="Y863:Y868" si="900">Z863/X863</f>
        <v>294.02339532093583</v>
      </c>
      <c r="Z863" s="167">
        <f t="shared" ref="Z863:Z869" si="901">I863</f>
        <v>980274</v>
      </c>
      <c r="AA863" s="170">
        <f>'Assumptions TRC_AUN'!$E$33</f>
        <v>3334</v>
      </c>
      <c r="AB863" s="200">
        <f t="shared" ref="AB863:AB868" si="902">AC863/AA863</f>
        <v>343.02729454109181</v>
      </c>
      <c r="AC863" s="167">
        <f t="shared" ref="AC863:AC868" si="903">J863</f>
        <v>1143653</v>
      </c>
      <c r="AD863" s="170">
        <f>'Assumptions TRC_AUN'!$E$33</f>
        <v>3334</v>
      </c>
      <c r="AE863" s="200">
        <f t="shared" ref="AE863:AE868" si="904">AF863/AD863</f>
        <v>0</v>
      </c>
      <c r="AF863" s="167">
        <f t="shared" ref="AF863:AF868" si="905">K863</f>
        <v>0</v>
      </c>
      <c r="AG863" s="67"/>
    </row>
    <row r="864" spans="1:33">
      <c r="A864" s="134"/>
      <c r="B864" s="153">
        <v>2</v>
      </c>
      <c r="C864" s="245" t="s">
        <v>1423</v>
      </c>
      <c r="D864" s="245" t="s">
        <v>1395</v>
      </c>
      <c r="E864" s="264">
        <f>$D$54</f>
        <v>69950</v>
      </c>
      <c r="F864" s="164">
        <f>6*8</f>
        <v>48</v>
      </c>
      <c r="G864" s="164">
        <f>7*8</f>
        <v>56</v>
      </c>
      <c r="H864" s="164"/>
      <c r="I864" s="164">
        <f t="shared" ref="I864:K864" si="906">$E864*F864</f>
        <v>3357600</v>
      </c>
      <c r="J864" s="164">
        <f t="shared" si="906"/>
        <v>3917200</v>
      </c>
      <c r="K864" s="164">
        <f t="shared" si="906"/>
        <v>0</v>
      </c>
      <c r="L864" s="111"/>
      <c r="M864" s="111"/>
      <c r="N864" s="111"/>
      <c r="O864" s="111"/>
      <c r="P864" s="111"/>
      <c r="Q864" s="111"/>
      <c r="R864" s="111"/>
      <c r="S864" s="712"/>
      <c r="T864" s="169" t="s">
        <v>946</v>
      </c>
      <c r="U864" s="169" t="s">
        <v>946</v>
      </c>
      <c r="V864" s="121" t="s">
        <v>1392</v>
      </c>
      <c r="W864" s="164" t="s">
        <v>789</v>
      </c>
      <c r="X864" s="170">
        <f>$E$864</f>
        <v>69950</v>
      </c>
      <c r="Y864" s="200">
        <f t="shared" si="900"/>
        <v>48</v>
      </c>
      <c r="Z864" s="167">
        <f t="shared" si="901"/>
        <v>3357600</v>
      </c>
      <c r="AA864" s="170">
        <f>$E$864</f>
        <v>69950</v>
      </c>
      <c r="AB864" s="200">
        <f t="shared" si="902"/>
        <v>56</v>
      </c>
      <c r="AC864" s="167">
        <f t="shared" si="903"/>
        <v>3917200</v>
      </c>
      <c r="AD864" s="170">
        <f>$E$864</f>
        <v>69950</v>
      </c>
      <c r="AE864" s="200">
        <f t="shared" si="904"/>
        <v>0</v>
      </c>
      <c r="AF864" s="167">
        <f t="shared" si="905"/>
        <v>0</v>
      </c>
      <c r="AG864" s="67"/>
    </row>
    <row r="865" spans="1:33">
      <c r="A865" s="134"/>
      <c r="B865" s="153">
        <v>3</v>
      </c>
      <c r="C865" s="245" t="s">
        <v>1424</v>
      </c>
      <c r="D865" s="245" t="s">
        <v>1425</v>
      </c>
      <c r="E865" s="264">
        <v>19500</v>
      </c>
      <c r="F865" s="164"/>
      <c r="G865" s="164"/>
      <c r="H865" s="164">
        <v>13</v>
      </c>
      <c r="I865" s="164">
        <f t="shared" ref="I865:K865" si="907">$E865*F865</f>
        <v>0</v>
      </c>
      <c r="J865" s="164">
        <f t="shared" si="907"/>
        <v>0</v>
      </c>
      <c r="K865" s="164">
        <f t="shared" si="907"/>
        <v>253500</v>
      </c>
      <c r="L865" s="111"/>
      <c r="M865" s="111"/>
      <c r="N865" s="111"/>
      <c r="O865" s="111"/>
      <c r="P865" s="111"/>
      <c r="Q865" s="111"/>
      <c r="R865" s="111"/>
      <c r="S865" s="712"/>
      <c r="T865" s="169" t="s">
        <v>946</v>
      </c>
      <c r="U865" s="169" t="s">
        <v>946</v>
      </c>
      <c r="V865" s="121" t="s">
        <v>848</v>
      </c>
      <c r="W865" s="164" t="s">
        <v>947</v>
      </c>
      <c r="X865" s="170">
        <f>'Assumptions TRC_AUN'!$E$33</f>
        <v>3334</v>
      </c>
      <c r="Y865" s="200">
        <f t="shared" si="900"/>
        <v>0</v>
      </c>
      <c r="Z865" s="167">
        <f t="shared" si="901"/>
        <v>0</v>
      </c>
      <c r="AA865" s="170">
        <f>'Assumptions TRC_AUN'!$E$33</f>
        <v>3334</v>
      </c>
      <c r="AB865" s="200">
        <f t="shared" si="902"/>
        <v>0</v>
      </c>
      <c r="AC865" s="167">
        <f t="shared" si="903"/>
        <v>0</v>
      </c>
      <c r="AD865" s="170">
        <f>'Assumptions TRC_AUN'!$E$33</f>
        <v>3334</v>
      </c>
      <c r="AE865" s="200">
        <f t="shared" si="904"/>
        <v>76.034793041391723</v>
      </c>
      <c r="AF865" s="167">
        <f t="shared" si="905"/>
        <v>253500</v>
      </c>
      <c r="AG865" s="67"/>
    </row>
    <row r="866" spans="1:33">
      <c r="A866" s="134"/>
      <c r="B866" s="153">
        <v>4</v>
      </c>
      <c r="C866" s="245" t="s">
        <v>1426</v>
      </c>
      <c r="D866" s="245" t="s">
        <v>1427</v>
      </c>
      <c r="E866" s="264">
        <f>'Assumptions TRC_AUN'!$J$90</f>
        <v>10982.125</v>
      </c>
      <c r="F866" s="164">
        <v>6</v>
      </c>
      <c r="G866" s="164">
        <v>7</v>
      </c>
      <c r="H866" s="164"/>
      <c r="I866" s="164">
        <f t="shared" ref="I866:K866" si="908">$E866*F866</f>
        <v>65892.75</v>
      </c>
      <c r="J866" s="164">
        <f t="shared" si="908"/>
        <v>76874.875</v>
      </c>
      <c r="K866" s="164">
        <f t="shared" si="908"/>
        <v>0</v>
      </c>
      <c r="L866" s="111"/>
      <c r="M866" s="111"/>
      <c r="N866" s="111"/>
      <c r="O866" s="111"/>
      <c r="P866" s="111"/>
      <c r="Q866" s="111"/>
      <c r="R866" s="111"/>
      <c r="S866" s="712"/>
      <c r="T866" s="169" t="s">
        <v>946</v>
      </c>
      <c r="U866" s="169" t="s">
        <v>946</v>
      </c>
      <c r="V866" s="121" t="s">
        <v>950</v>
      </c>
      <c r="W866" s="121" t="s">
        <v>951</v>
      </c>
      <c r="X866" s="170">
        <f>'Assumptions TRC_AUN'!$J$91</f>
        <v>549.10625000000005</v>
      </c>
      <c r="Y866" s="200">
        <f t="shared" si="900"/>
        <v>119.99999999999999</v>
      </c>
      <c r="Z866" s="167">
        <f t="shared" si="901"/>
        <v>65892.75</v>
      </c>
      <c r="AA866" s="170">
        <f>'Assumptions TRC_AUN'!$J$91</f>
        <v>549.10625000000005</v>
      </c>
      <c r="AB866" s="200">
        <f t="shared" si="902"/>
        <v>140</v>
      </c>
      <c r="AC866" s="167">
        <f t="shared" si="903"/>
        <v>76874.875</v>
      </c>
      <c r="AD866" s="170">
        <f>'Assumptions TRC_AUN'!$J$91</f>
        <v>549.10625000000005</v>
      </c>
      <c r="AE866" s="200">
        <f t="shared" si="904"/>
        <v>0</v>
      </c>
      <c r="AF866" s="167">
        <f t="shared" si="905"/>
        <v>0</v>
      </c>
      <c r="AG866" s="67"/>
    </row>
    <row r="867" spans="1:33">
      <c r="A867" s="134"/>
      <c r="B867" s="153">
        <v>5</v>
      </c>
      <c r="C867" s="245" t="s">
        <v>1428</v>
      </c>
      <c r="D867" s="245" t="s">
        <v>1429</v>
      </c>
      <c r="E867" s="264">
        <v>54000</v>
      </c>
      <c r="F867" s="164">
        <v>12</v>
      </c>
      <c r="G867" s="164">
        <v>12</v>
      </c>
      <c r="H867" s="164">
        <v>12</v>
      </c>
      <c r="I867" s="164">
        <f t="shared" ref="I867:I868" si="909">$E867*F867</f>
        <v>648000</v>
      </c>
      <c r="J867" s="164">
        <f t="shared" ref="J867:K867" si="910">$E867*G867*G861</f>
        <v>822960</v>
      </c>
      <c r="K867" s="164">
        <f t="shared" si="910"/>
        <v>965520</v>
      </c>
      <c r="L867" s="111"/>
      <c r="M867" s="111"/>
      <c r="N867" s="111"/>
      <c r="O867" s="111"/>
      <c r="P867" s="111"/>
      <c r="Q867" s="111"/>
      <c r="R867" s="111"/>
      <c r="S867" s="712"/>
      <c r="T867" s="169" t="s">
        <v>946</v>
      </c>
      <c r="U867" s="169" t="s">
        <v>946</v>
      </c>
      <c r="V867" s="121" t="s">
        <v>882</v>
      </c>
      <c r="W867" s="164" t="s">
        <v>789</v>
      </c>
      <c r="X867" s="170">
        <f>E867</f>
        <v>54000</v>
      </c>
      <c r="Y867" s="200">
        <f t="shared" si="900"/>
        <v>12</v>
      </c>
      <c r="Z867" s="167">
        <f t="shared" si="901"/>
        <v>648000</v>
      </c>
      <c r="AA867" s="170">
        <f>E867*G861</f>
        <v>68580</v>
      </c>
      <c r="AB867" s="200">
        <f t="shared" si="902"/>
        <v>12</v>
      </c>
      <c r="AC867" s="167">
        <f t="shared" si="903"/>
        <v>822960</v>
      </c>
      <c r="AD867" s="170">
        <f>E867*H861</f>
        <v>80460</v>
      </c>
      <c r="AE867" s="200">
        <f t="shared" si="904"/>
        <v>12</v>
      </c>
      <c r="AF867" s="167">
        <f t="shared" si="905"/>
        <v>965520</v>
      </c>
      <c r="AG867" s="67"/>
    </row>
    <row r="868" spans="1:33">
      <c r="A868" s="134"/>
      <c r="B868" s="153">
        <v>6</v>
      </c>
      <c r="C868" s="245" t="s">
        <v>1401</v>
      </c>
      <c r="D868" s="245" t="s">
        <v>1430</v>
      </c>
      <c r="E868" s="264">
        <f>'Assumptions TRC_AUN'!$I$185</f>
        <v>11845</v>
      </c>
      <c r="F868" s="164">
        <v>6</v>
      </c>
      <c r="G868" s="164">
        <v>5</v>
      </c>
      <c r="H868" s="164">
        <v>5</v>
      </c>
      <c r="I868" s="164">
        <f t="shared" si="909"/>
        <v>71070</v>
      </c>
      <c r="J868" s="164">
        <f t="shared" ref="J868:K868" si="911">$E868*G868</f>
        <v>59225</v>
      </c>
      <c r="K868" s="164">
        <f t="shared" si="911"/>
        <v>59225</v>
      </c>
      <c r="L868" s="111"/>
      <c r="M868" s="111"/>
      <c r="N868" s="111"/>
      <c r="O868" s="111"/>
      <c r="P868" s="111"/>
      <c r="Q868" s="111"/>
      <c r="R868" s="111"/>
      <c r="S868" s="712"/>
      <c r="T868" s="169" t="s">
        <v>946</v>
      </c>
      <c r="U868" s="169" t="s">
        <v>946</v>
      </c>
      <c r="V868" s="121" t="s">
        <v>809</v>
      </c>
      <c r="W868" s="121" t="s">
        <v>791</v>
      </c>
      <c r="X868" s="170">
        <f>'Assumptions TRC_AUN'!$I$186</f>
        <v>1974.1666666666667</v>
      </c>
      <c r="Y868" s="200">
        <f t="shared" si="900"/>
        <v>36</v>
      </c>
      <c r="Z868" s="167">
        <f t="shared" si="901"/>
        <v>71070</v>
      </c>
      <c r="AA868" s="170">
        <f>'Assumptions TRC_AUN'!$I$186</f>
        <v>1974.1666666666667</v>
      </c>
      <c r="AB868" s="200">
        <f t="shared" si="902"/>
        <v>30</v>
      </c>
      <c r="AC868" s="167">
        <f t="shared" si="903"/>
        <v>59225</v>
      </c>
      <c r="AD868" s="170">
        <f>'Assumptions TRC_AUN'!$I$186</f>
        <v>1974.1666666666667</v>
      </c>
      <c r="AE868" s="200">
        <f t="shared" si="904"/>
        <v>30</v>
      </c>
      <c r="AF868" s="167">
        <f t="shared" si="905"/>
        <v>59225</v>
      </c>
      <c r="AG868" s="67"/>
    </row>
    <row r="869" spans="1:33">
      <c r="A869" s="9"/>
      <c r="B869" s="111"/>
      <c r="C869" s="111"/>
      <c r="D869" s="111"/>
      <c r="E869" s="111"/>
      <c r="F869" s="111"/>
      <c r="G869" s="111"/>
      <c r="H869" s="151"/>
      <c r="I869" s="151">
        <f t="shared" ref="I869:K869" si="912">SUM(I863:I868)</f>
        <v>5122836.75</v>
      </c>
      <c r="J869" s="151">
        <f t="shared" si="912"/>
        <v>6019912.875</v>
      </c>
      <c r="K869" s="151">
        <f t="shared" si="912"/>
        <v>1278245</v>
      </c>
      <c r="L869" s="111"/>
      <c r="M869" s="111"/>
      <c r="N869" s="111"/>
      <c r="O869" s="111"/>
      <c r="P869" s="111"/>
      <c r="Q869" s="111"/>
      <c r="R869" s="111"/>
      <c r="S869" s="712"/>
      <c r="T869" s="111"/>
      <c r="U869" s="111"/>
      <c r="V869" s="67"/>
      <c r="W869" s="111"/>
      <c r="X869" s="132"/>
      <c r="Y869" s="111"/>
      <c r="Z869" s="151">
        <f t="shared" si="901"/>
        <v>5122836.75</v>
      </c>
      <c r="AA869" s="111"/>
      <c r="AB869" s="111"/>
      <c r="AC869" s="111"/>
      <c r="AD869" s="111"/>
      <c r="AE869" s="111"/>
      <c r="AF869" s="111"/>
      <c r="AG869" s="67"/>
    </row>
    <row r="870" spans="1:33">
      <c r="A870" s="9"/>
      <c r="B870" s="111"/>
      <c r="C870" s="111"/>
      <c r="D870" s="111"/>
      <c r="E870" s="111"/>
      <c r="F870" s="111"/>
      <c r="G870" s="111"/>
      <c r="H870" s="151"/>
      <c r="I870" s="151"/>
      <c r="J870" s="151"/>
      <c r="K870" s="151"/>
      <c r="L870" s="111"/>
      <c r="M870" s="111"/>
      <c r="N870" s="111"/>
      <c r="O870" s="111"/>
      <c r="P870" s="111"/>
      <c r="Q870" s="111"/>
      <c r="R870" s="111"/>
      <c r="S870" s="712"/>
      <c r="T870" s="111"/>
      <c r="U870" s="111"/>
      <c r="V870" s="67"/>
      <c r="W870" s="111"/>
      <c r="X870" s="132"/>
      <c r="Y870" s="111"/>
      <c r="Z870" s="111"/>
      <c r="AA870" s="111"/>
      <c r="AB870" s="111"/>
      <c r="AC870" s="111"/>
      <c r="AD870" s="111"/>
      <c r="AE870" s="111"/>
      <c r="AF870" s="111"/>
      <c r="AG870" s="67"/>
    </row>
    <row r="871" spans="1:33">
      <c r="A871" s="725">
        <v>46</v>
      </c>
      <c r="B871" s="726" t="e" vm="1">
        <f>'[2]AUN Budget'!$E$186</f>
        <v>#VALUE!</v>
      </c>
      <c r="C871" s="731"/>
      <c r="D871" s="731"/>
      <c r="E871" s="731"/>
      <c r="F871" s="731"/>
      <c r="G871" s="731"/>
      <c r="H871" s="731"/>
      <c r="I871" s="731"/>
      <c r="J871" s="731"/>
      <c r="K871" s="731"/>
      <c r="L871" s="111"/>
      <c r="M871" s="111"/>
      <c r="N871" s="111"/>
      <c r="O871" s="111"/>
      <c r="P871" s="111"/>
      <c r="Q871" s="111"/>
      <c r="R871" s="111"/>
      <c r="S871" s="712"/>
      <c r="T871" s="111"/>
      <c r="U871" s="111"/>
      <c r="V871" s="67"/>
      <c r="W871" s="111"/>
      <c r="X871" s="132"/>
      <c r="Y871" s="111"/>
      <c r="Z871" s="111"/>
      <c r="AA871" s="111"/>
      <c r="AB871" s="111"/>
      <c r="AC871" s="111"/>
      <c r="AD871" s="111"/>
      <c r="AE871" s="111"/>
      <c r="AF871" s="111"/>
      <c r="AG871" s="67"/>
    </row>
    <row r="872" spans="1:33">
      <c r="A872" s="134"/>
      <c r="B872" s="113" t="s">
        <v>755</v>
      </c>
      <c r="C872" s="113" t="s">
        <v>1304</v>
      </c>
      <c r="D872" s="113" t="s">
        <v>1305</v>
      </c>
      <c r="E872" s="113" t="s">
        <v>1388</v>
      </c>
      <c r="F872" s="113" t="s">
        <v>1307</v>
      </c>
      <c r="G872" s="113" t="s">
        <v>1308</v>
      </c>
      <c r="H872" s="113" t="s">
        <v>1309</v>
      </c>
      <c r="I872" s="113" t="s">
        <v>972</v>
      </c>
      <c r="J872" s="113" t="s">
        <v>973</v>
      </c>
      <c r="K872" s="113" t="s">
        <v>974</v>
      </c>
      <c r="L872" s="111"/>
      <c r="M872" s="111"/>
      <c r="N872" s="111"/>
      <c r="O872" s="111"/>
      <c r="P872" s="111"/>
      <c r="Q872" s="111"/>
      <c r="R872" s="111"/>
      <c r="S872" s="712"/>
      <c r="T872" s="159" t="s">
        <v>387</v>
      </c>
      <c r="U872" s="159" t="s">
        <v>388</v>
      </c>
      <c r="V872" s="160" t="s">
        <v>934</v>
      </c>
      <c r="W872" s="160" t="s">
        <v>935</v>
      </c>
      <c r="X872" s="161" t="s">
        <v>936</v>
      </c>
      <c r="Y872" s="162" t="s">
        <v>937</v>
      </c>
      <c r="Z872" s="161" t="s">
        <v>938</v>
      </c>
      <c r="AA872" s="159" t="s">
        <v>939</v>
      </c>
      <c r="AB872" s="159" t="s">
        <v>940</v>
      </c>
      <c r="AC872" s="160" t="s">
        <v>941</v>
      </c>
      <c r="AD872" s="160" t="s">
        <v>942</v>
      </c>
      <c r="AE872" s="161" t="s">
        <v>943</v>
      </c>
      <c r="AF872" s="161" t="s">
        <v>944</v>
      </c>
      <c r="AG872" s="67"/>
    </row>
    <row r="873" spans="1:33">
      <c r="A873" s="134"/>
      <c r="B873" s="153">
        <v>1</v>
      </c>
      <c r="C873" s="245" t="s">
        <v>1431</v>
      </c>
      <c r="D873" s="245" t="s">
        <v>1432</v>
      </c>
      <c r="E873" s="264">
        <v>15750</v>
      </c>
      <c r="F873" s="164">
        <v>12</v>
      </c>
      <c r="G873" s="164">
        <v>12</v>
      </c>
      <c r="H873" s="164">
        <v>12</v>
      </c>
      <c r="I873" s="164">
        <f t="shared" ref="I873:K873" si="913">$E873*F873</f>
        <v>189000</v>
      </c>
      <c r="J873" s="164">
        <f t="shared" si="913"/>
        <v>189000</v>
      </c>
      <c r="K873" s="164">
        <f t="shared" si="913"/>
        <v>189000</v>
      </c>
      <c r="L873" s="111"/>
      <c r="M873" s="111"/>
      <c r="N873" s="111"/>
      <c r="O873" s="111"/>
      <c r="P873" s="111"/>
      <c r="Q873" s="111"/>
      <c r="R873" s="111"/>
      <c r="S873" s="712"/>
      <c r="T873" s="169" t="s">
        <v>946</v>
      </c>
      <c r="U873" s="169" t="s">
        <v>946</v>
      </c>
      <c r="V873" s="121" t="s">
        <v>848</v>
      </c>
      <c r="W873" s="164" t="s">
        <v>947</v>
      </c>
      <c r="X873" s="170">
        <f>'Assumptions TRC_AUN'!$E$33</f>
        <v>3334</v>
      </c>
      <c r="Y873" s="200">
        <f t="shared" ref="Y873:Y878" si="914">Z873/X873</f>
        <v>56.688662267546491</v>
      </c>
      <c r="Z873" s="167">
        <f t="shared" ref="Z873:Z878" si="915">I873</f>
        <v>189000</v>
      </c>
      <c r="AA873" s="170">
        <f>'Assumptions TRC_AUN'!$E$33</f>
        <v>3334</v>
      </c>
      <c r="AB873" s="200">
        <f t="shared" ref="AB873:AB875" si="916">AC873/AA873</f>
        <v>56.688662267546491</v>
      </c>
      <c r="AC873" s="167">
        <f t="shared" ref="AC873:AC878" si="917">J873</f>
        <v>189000</v>
      </c>
      <c r="AD873" s="170">
        <f>'Assumptions TRC_AUN'!$E$33</f>
        <v>3334</v>
      </c>
      <c r="AE873" s="200">
        <f t="shared" ref="AE873:AE875" si="918">AF873/AD873</f>
        <v>56.688662267546491</v>
      </c>
      <c r="AF873" s="167">
        <f t="shared" ref="AF873:AF878" si="919">K873</f>
        <v>189000</v>
      </c>
      <c r="AG873" s="67"/>
    </row>
    <row r="874" spans="1:33">
      <c r="A874" s="134"/>
      <c r="B874" s="153">
        <v>2</v>
      </c>
      <c r="C874" s="245" t="s">
        <v>1433</v>
      </c>
      <c r="D874" s="245" t="s">
        <v>1434</v>
      </c>
      <c r="E874" s="264">
        <v>54000</v>
      </c>
      <c r="F874" s="164">
        <v>12</v>
      </c>
      <c r="G874" s="164">
        <v>12</v>
      </c>
      <c r="H874" s="164">
        <v>12</v>
      </c>
      <c r="I874" s="164">
        <f t="shared" ref="I874:K874" si="920">$E874*F874</f>
        <v>648000</v>
      </c>
      <c r="J874" s="164">
        <f t="shared" si="920"/>
        <v>648000</v>
      </c>
      <c r="K874" s="164">
        <f t="shared" si="920"/>
        <v>648000</v>
      </c>
      <c r="L874" s="111"/>
      <c r="M874" s="111"/>
      <c r="N874" s="111"/>
      <c r="O874" s="111"/>
      <c r="P874" s="111"/>
      <c r="Q874" s="111"/>
      <c r="R874" s="111"/>
      <c r="S874" s="712"/>
      <c r="T874" s="169" t="s">
        <v>946</v>
      </c>
      <c r="U874" s="169" t="s">
        <v>946</v>
      </c>
      <c r="V874" s="121" t="s">
        <v>882</v>
      </c>
      <c r="W874" s="164" t="s">
        <v>789</v>
      </c>
      <c r="X874" s="170">
        <f>$E$874</f>
        <v>54000</v>
      </c>
      <c r="Y874" s="200">
        <f t="shared" si="914"/>
        <v>12</v>
      </c>
      <c r="Z874" s="167">
        <f t="shared" si="915"/>
        <v>648000</v>
      </c>
      <c r="AA874" s="170">
        <f>$E$874</f>
        <v>54000</v>
      </c>
      <c r="AB874" s="200">
        <f t="shared" si="916"/>
        <v>12</v>
      </c>
      <c r="AC874" s="167">
        <f t="shared" si="917"/>
        <v>648000</v>
      </c>
      <c r="AD874" s="170">
        <f>$E$874</f>
        <v>54000</v>
      </c>
      <c r="AE874" s="200">
        <f t="shared" si="918"/>
        <v>12</v>
      </c>
      <c r="AF874" s="167">
        <f t="shared" si="919"/>
        <v>648000</v>
      </c>
      <c r="AG874" s="67"/>
    </row>
    <row r="875" spans="1:33">
      <c r="A875" s="134"/>
      <c r="B875" s="153">
        <v>3</v>
      </c>
      <c r="C875" s="245" t="s">
        <v>1435</v>
      </c>
      <c r="D875" s="245" t="s">
        <v>1436</v>
      </c>
      <c r="E875" s="264">
        <f>0.36*50000</f>
        <v>18000</v>
      </c>
      <c r="F875" s="164">
        <v>12</v>
      </c>
      <c r="G875" s="164">
        <v>12</v>
      </c>
      <c r="H875" s="164">
        <v>12</v>
      </c>
      <c r="I875" s="164">
        <f t="shared" ref="I875:K875" si="921">$E875*F875</f>
        <v>216000</v>
      </c>
      <c r="J875" s="164">
        <f t="shared" si="921"/>
        <v>216000</v>
      </c>
      <c r="K875" s="164">
        <f t="shared" si="921"/>
        <v>216000</v>
      </c>
      <c r="L875" s="111"/>
      <c r="M875" s="111"/>
      <c r="N875" s="111"/>
      <c r="O875" s="111"/>
      <c r="P875" s="111"/>
      <c r="Q875" s="111"/>
      <c r="R875" s="111"/>
      <c r="S875" s="712"/>
      <c r="T875" s="169" t="s">
        <v>946</v>
      </c>
      <c r="U875" s="169" t="s">
        <v>946</v>
      </c>
      <c r="V875" s="121" t="s">
        <v>882</v>
      </c>
      <c r="W875" s="164" t="s">
        <v>789</v>
      </c>
      <c r="X875" s="170">
        <f>$E$875</f>
        <v>18000</v>
      </c>
      <c r="Y875" s="200">
        <f t="shared" si="914"/>
        <v>12</v>
      </c>
      <c r="Z875" s="167">
        <f t="shared" si="915"/>
        <v>216000</v>
      </c>
      <c r="AA875" s="170">
        <f>$E$875</f>
        <v>18000</v>
      </c>
      <c r="AB875" s="200">
        <f t="shared" si="916"/>
        <v>12</v>
      </c>
      <c r="AC875" s="167">
        <f t="shared" si="917"/>
        <v>216000</v>
      </c>
      <c r="AD875" s="170">
        <f>$E$875</f>
        <v>18000</v>
      </c>
      <c r="AE875" s="200">
        <f t="shared" si="918"/>
        <v>12</v>
      </c>
      <c r="AF875" s="167">
        <f t="shared" si="919"/>
        <v>216000</v>
      </c>
      <c r="AG875" s="67"/>
    </row>
    <row r="876" spans="1:33">
      <c r="A876" s="134"/>
      <c r="B876" s="153">
        <v>4</v>
      </c>
      <c r="C876" s="245" t="s">
        <v>1437</v>
      </c>
      <c r="D876" s="245" t="s">
        <v>1438</v>
      </c>
      <c r="E876" s="264">
        <v>8600</v>
      </c>
      <c r="F876" s="164">
        <f>8*25</f>
        <v>200</v>
      </c>
      <c r="G876" s="164"/>
      <c r="H876" s="164"/>
      <c r="I876" s="164">
        <f t="shared" ref="I876:K876" si="922">$E876*F876</f>
        <v>1720000</v>
      </c>
      <c r="J876" s="164">
        <f t="shared" si="922"/>
        <v>0</v>
      </c>
      <c r="K876" s="164">
        <f t="shared" si="922"/>
        <v>0</v>
      </c>
      <c r="L876" s="111"/>
      <c r="M876" s="111"/>
      <c r="N876" s="111"/>
      <c r="O876" s="111"/>
      <c r="P876" s="111"/>
      <c r="Q876" s="111"/>
      <c r="R876" s="111"/>
      <c r="S876" s="712"/>
      <c r="T876" s="169" t="s">
        <v>946</v>
      </c>
      <c r="U876" s="169" t="s">
        <v>946</v>
      </c>
      <c r="V876" s="121" t="s">
        <v>1392</v>
      </c>
      <c r="W876" s="164" t="s">
        <v>789</v>
      </c>
      <c r="X876" s="170">
        <f>E876</f>
        <v>8600</v>
      </c>
      <c r="Y876" s="200">
        <f t="shared" si="914"/>
        <v>200</v>
      </c>
      <c r="Z876" s="167">
        <f t="shared" si="915"/>
        <v>1720000</v>
      </c>
      <c r="AA876" s="170"/>
      <c r="AB876" s="200"/>
      <c r="AC876" s="167">
        <f t="shared" si="917"/>
        <v>0</v>
      </c>
      <c r="AD876" s="170"/>
      <c r="AE876" s="200"/>
      <c r="AF876" s="167">
        <f t="shared" si="919"/>
        <v>0</v>
      </c>
      <c r="AG876" s="67"/>
    </row>
    <row r="877" spans="1:33">
      <c r="A877" s="134"/>
      <c r="B877" s="153">
        <v>5</v>
      </c>
      <c r="C877" s="245" t="s">
        <v>1439</v>
      </c>
      <c r="D877" s="245" t="s">
        <v>1440</v>
      </c>
      <c r="E877" s="264">
        <f>'Assumptions TRC_AUN'!$J$54</f>
        <v>81914.5</v>
      </c>
      <c r="F877" s="164">
        <v>2</v>
      </c>
      <c r="G877" s="164">
        <v>2</v>
      </c>
      <c r="H877" s="164"/>
      <c r="I877" s="164">
        <f t="shared" ref="I877:K877" si="923">$E877*F877</f>
        <v>163829</v>
      </c>
      <c r="J877" s="164">
        <f t="shared" si="923"/>
        <v>163829</v>
      </c>
      <c r="K877" s="164">
        <f t="shared" si="923"/>
        <v>0</v>
      </c>
      <c r="L877" s="111"/>
      <c r="M877" s="111"/>
      <c r="N877" s="111"/>
      <c r="O877" s="111"/>
      <c r="P877" s="111"/>
      <c r="Q877" s="111"/>
      <c r="R877" s="111"/>
      <c r="S877" s="712"/>
      <c r="T877" s="169" t="s">
        <v>946</v>
      </c>
      <c r="U877" s="169" t="s">
        <v>946</v>
      </c>
      <c r="V877" s="121" t="s">
        <v>950</v>
      </c>
      <c r="W877" s="121" t="s">
        <v>951</v>
      </c>
      <c r="X877" s="170">
        <f>'Assumptions TRC_AUN'!$J$55</f>
        <v>1050.1858974358975</v>
      </c>
      <c r="Y877" s="200">
        <f t="shared" si="914"/>
        <v>156</v>
      </c>
      <c r="Z877" s="167">
        <f t="shared" si="915"/>
        <v>163829</v>
      </c>
      <c r="AA877" s="170">
        <f>'Assumptions TRC_AUN'!$J$55</f>
        <v>1050.1858974358975</v>
      </c>
      <c r="AB877" s="200">
        <f t="shared" ref="AB877:AB878" si="924">AC877/AA877</f>
        <v>156</v>
      </c>
      <c r="AC877" s="167">
        <f t="shared" si="917"/>
        <v>163829</v>
      </c>
      <c r="AD877" s="170">
        <f>'Assumptions TRC_AUN'!$J$55</f>
        <v>1050.1858974358975</v>
      </c>
      <c r="AE877" s="200">
        <f t="shared" ref="AE877:AE878" si="925">AF877/AD877</f>
        <v>0</v>
      </c>
      <c r="AF877" s="167">
        <f t="shared" si="919"/>
        <v>0</v>
      </c>
      <c r="AG877" s="67"/>
    </row>
    <row r="878" spans="1:33">
      <c r="A878" s="134"/>
      <c r="B878" s="153">
        <v>6</v>
      </c>
      <c r="C878" s="245" t="s">
        <v>1401</v>
      </c>
      <c r="D878" s="245" t="s">
        <v>1430</v>
      </c>
      <c r="E878" s="264">
        <f>'Assumptions TRC_AUN'!$I$185</f>
        <v>11845</v>
      </c>
      <c r="F878" s="164">
        <v>6</v>
      </c>
      <c r="G878" s="164">
        <v>6</v>
      </c>
      <c r="H878" s="164">
        <v>6</v>
      </c>
      <c r="I878" s="164">
        <f t="shared" ref="I878:K878" si="926">$E878*F878</f>
        <v>71070</v>
      </c>
      <c r="J878" s="164">
        <f t="shared" si="926"/>
        <v>71070</v>
      </c>
      <c r="K878" s="164">
        <f t="shared" si="926"/>
        <v>71070</v>
      </c>
      <c r="L878" s="111"/>
      <c r="M878" s="111"/>
      <c r="N878" s="111"/>
      <c r="O878" s="111"/>
      <c r="P878" s="111"/>
      <c r="Q878" s="111"/>
      <c r="R878" s="111"/>
      <c r="S878" s="712"/>
      <c r="T878" s="169" t="s">
        <v>946</v>
      </c>
      <c r="U878" s="169" t="s">
        <v>946</v>
      </c>
      <c r="V878" s="121" t="s">
        <v>809</v>
      </c>
      <c r="W878" s="121" t="s">
        <v>791</v>
      </c>
      <c r="X878" s="170">
        <f>'Assumptions TRC_AUN'!$I$186</f>
        <v>1974.1666666666667</v>
      </c>
      <c r="Y878" s="200">
        <f t="shared" si="914"/>
        <v>36</v>
      </c>
      <c r="Z878" s="167">
        <f t="shared" si="915"/>
        <v>71070</v>
      </c>
      <c r="AA878" s="170">
        <f>'Assumptions TRC_AUN'!$I$186</f>
        <v>1974.1666666666667</v>
      </c>
      <c r="AB878" s="200">
        <f t="shared" si="924"/>
        <v>36</v>
      </c>
      <c r="AC878" s="167">
        <f t="shared" si="917"/>
        <v>71070</v>
      </c>
      <c r="AD878" s="170">
        <f>'Assumptions TRC_AUN'!$I$186</f>
        <v>1974.1666666666667</v>
      </c>
      <c r="AE878" s="200">
        <f t="shared" si="925"/>
        <v>36</v>
      </c>
      <c r="AF878" s="167">
        <f t="shared" si="919"/>
        <v>71070</v>
      </c>
      <c r="AG878" s="67"/>
    </row>
    <row r="879" spans="1:33">
      <c r="A879" s="9"/>
      <c r="B879" s="111"/>
      <c r="C879" s="111"/>
      <c r="D879" s="111"/>
      <c r="E879" s="111"/>
      <c r="F879" s="111"/>
      <c r="G879" s="111"/>
      <c r="H879" s="151"/>
      <c r="I879" s="151"/>
      <c r="J879" s="151"/>
      <c r="K879" s="151"/>
      <c r="L879" s="111"/>
      <c r="M879" s="111"/>
      <c r="N879" s="111"/>
      <c r="O879" s="111"/>
      <c r="P879" s="111"/>
      <c r="Q879" s="111"/>
      <c r="R879" s="111"/>
      <c r="S879" s="712"/>
      <c r="T879" s="111"/>
      <c r="U879" s="111"/>
      <c r="V879" s="67"/>
      <c r="W879" s="111"/>
      <c r="X879" s="132"/>
      <c r="Y879" s="111"/>
      <c r="Z879" s="111"/>
      <c r="AA879" s="111"/>
      <c r="AB879" s="111"/>
      <c r="AC879" s="111"/>
      <c r="AD879" s="111"/>
      <c r="AE879" s="111"/>
      <c r="AF879" s="111"/>
      <c r="AG879" s="67"/>
    </row>
    <row r="880" spans="1:33">
      <c r="A880" s="9"/>
      <c r="B880" s="111"/>
      <c r="C880" s="111"/>
      <c r="D880" s="111"/>
      <c r="E880" s="111"/>
      <c r="F880" s="111"/>
      <c r="G880" s="111"/>
      <c r="H880" s="151"/>
      <c r="I880" s="151"/>
      <c r="J880" s="151"/>
      <c r="K880" s="151"/>
      <c r="L880" s="111"/>
      <c r="M880" s="111"/>
      <c r="N880" s="111"/>
      <c r="O880" s="111"/>
      <c r="P880" s="111"/>
      <c r="Q880" s="111"/>
      <c r="R880" s="111"/>
      <c r="S880" s="712"/>
      <c r="T880" s="111"/>
      <c r="U880" s="111"/>
      <c r="V880" s="67"/>
      <c r="W880" s="111"/>
      <c r="X880" s="132"/>
      <c r="Y880" s="111"/>
      <c r="Z880" s="111"/>
      <c r="AA880" s="111"/>
      <c r="AB880" s="111"/>
      <c r="AC880" s="111"/>
      <c r="AD880" s="111"/>
      <c r="AE880" s="111"/>
      <c r="AF880" s="111"/>
      <c r="AG880" s="67"/>
    </row>
    <row r="881" spans="1:33">
      <c r="A881" s="725">
        <v>47</v>
      </c>
      <c r="B881" s="726" t="s">
        <v>1441</v>
      </c>
      <c r="C881" s="731"/>
      <c r="D881" s="731"/>
      <c r="E881" s="731"/>
      <c r="F881" s="731"/>
      <c r="G881" s="731"/>
      <c r="H881" s="731"/>
      <c r="I881" s="724"/>
      <c r="J881" s="724"/>
      <c r="K881" s="724"/>
      <c r="L881" s="724"/>
      <c r="M881" s="111"/>
      <c r="N881" s="111"/>
      <c r="O881" s="111"/>
      <c r="P881" s="111"/>
      <c r="Q881" s="111"/>
      <c r="R881" s="111"/>
      <c r="S881" s="712"/>
      <c r="T881" s="111"/>
      <c r="U881" s="111"/>
      <c r="V881" s="67"/>
      <c r="W881" s="111"/>
      <c r="X881" s="132"/>
      <c r="Y881" s="133"/>
      <c r="Z881" s="132"/>
      <c r="AA881" s="132"/>
      <c r="AB881" s="133"/>
      <c r="AC881" s="132"/>
      <c r="AD881" s="132"/>
      <c r="AE881" s="133"/>
      <c r="AF881" s="132"/>
      <c r="AG881" s="67"/>
    </row>
    <row r="882" spans="1:33">
      <c r="A882" s="134"/>
      <c r="B882" s="113" t="s">
        <v>755</v>
      </c>
      <c r="C882" s="113" t="s">
        <v>1442</v>
      </c>
      <c r="D882" s="113" t="s">
        <v>1443</v>
      </c>
      <c r="E882" s="113" t="s">
        <v>935</v>
      </c>
      <c r="F882" s="113" t="s">
        <v>1444</v>
      </c>
      <c r="G882" s="113" t="s">
        <v>1445</v>
      </c>
      <c r="H882" s="113" t="s">
        <v>1446</v>
      </c>
      <c r="I882" s="113" t="s">
        <v>1447</v>
      </c>
      <c r="J882" s="113" t="s">
        <v>792</v>
      </c>
      <c r="K882" s="113" t="s">
        <v>1448</v>
      </c>
      <c r="L882" s="113" t="s">
        <v>1449</v>
      </c>
      <c r="M882" s="111"/>
      <c r="N882" s="111"/>
      <c r="O882" s="111"/>
      <c r="P882" s="111"/>
      <c r="Q882" s="111"/>
      <c r="R882" s="111"/>
      <c r="S882" s="712"/>
      <c r="T882" s="111"/>
      <c r="U882" s="111"/>
      <c r="V882" s="67"/>
      <c r="W882" s="111"/>
      <c r="X882" s="132"/>
      <c r="Y882" s="133"/>
      <c r="Z882" s="132"/>
      <c r="AA882" s="132"/>
      <c r="AB882" s="133"/>
      <c r="AC882" s="132"/>
      <c r="AD882" s="132"/>
      <c r="AE882" s="133"/>
      <c r="AF882" s="132"/>
      <c r="AG882" s="67"/>
    </row>
    <row r="883" spans="1:33">
      <c r="A883" s="134"/>
      <c r="B883" s="153">
        <v>1</v>
      </c>
      <c r="C883" s="121" t="s">
        <v>1441</v>
      </c>
      <c r="D883" s="121" t="s">
        <v>1021</v>
      </c>
      <c r="E883" s="121" t="s">
        <v>791</v>
      </c>
      <c r="F883" s="121" t="s">
        <v>873</v>
      </c>
      <c r="G883" s="273">
        <v>451.5</v>
      </c>
      <c r="H883" s="164">
        <v>1</v>
      </c>
      <c r="I883" s="164">
        <v>200</v>
      </c>
      <c r="J883" s="164">
        <v>1</v>
      </c>
      <c r="K883" s="164">
        <v>200</v>
      </c>
      <c r="L883" s="164">
        <v>90300</v>
      </c>
      <c r="M883" s="111"/>
      <c r="N883" s="111"/>
      <c r="O883" s="111"/>
      <c r="P883" s="111"/>
      <c r="Q883" s="111"/>
      <c r="R883" s="111"/>
      <c r="S883" s="712"/>
      <c r="T883" s="111"/>
      <c r="U883" s="111"/>
      <c r="V883" s="67"/>
      <c r="W883" s="111"/>
      <c r="X883" s="132"/>
      <c r="Y883" s="133"/>
      <c r="Z883" s="132"/>
      <c r="AA883" s="132"/>
      <c r="AB883" s="133"/>
      <c r="AC883" s="132"/>
      <c r="AD883" s="132"/>
      <c r="AE883" s="133"/>
      <c r="AF883" s="132"/>
      <c r="AG883" s="67"/>
    </row>
    <row r="884" spans="1:33">
      <c r="A884" s="134"/>
      <c r="B884" s="153">
        <v>2</v>
      </c>
      <c r="C884" s="121" t="s">
        <v>1441</v>
      </c>
      <c r="D884" s="121" t="s">
        <v>1450</v>
      </c>
      <c r="E884" s="121" t="s">
        <v>791</v>
      </c>
      <c r="F884" s="121" t="s">
        <v>873</v>
      </c>
      <c r="G884" s="273">
        <v>3870</v>
      </c>
      <c r="H884" s="164">
        <v>1</v>
      </c>
      <c r="I884" s="164">
        <v>1</v>
      </c>
      <c r="J884" s="164">
        <v>1</v>
      </c>
      <c r="K884" s="164">
        <v>1</v>
      </c>
      <c r="L884" s="164">
        <v>3870</v>
      </c>
      <c r="M884" s="111"/>
      <c r="N884" s="111"/>
      <c r="O884" s="111"/>
      <c r="P884" s="111"/>
      <c r="Q884" s="111"/>
      <c r="R884" s="111"/>
      <c r="S884" s="712"/>
      <c r="T884" s="111"/>
      <c r="U884" s="111"/>
      <c r="V884" s="67"/>
      <c r="W884" s="111"/>
      <c r="X884" s="132"/>
      <c r="Y884" s="133"/>
      <c r="Z884" s="132"/>
      <c r="AA884" s="132"/>
      <c r="AB884" s="133"/>
      <c r="AC884" s="132"/>
      <c r="AD884" s="132"/>
      <c r="AE884" s="133"/>
      <c r="AF884" s="132"/>
      <c r="AG884" s="67"/>
    </row>
    <row r="885" spans="1:33">
      <c r="A885" s="134"/>
      <c r="B885" s="153">
        <v>3</v>
      </c>
      <c r="C885" s="121" t="s">
        <v>1441</v>
      </c>
      <c r="D885" s="121" t="s">
        <v>1451</v>
      </c>
      <c r="E885" s="121" t="s">
        <v>791</v>
      </c>
      <c r="F885" s="121" t="s">
        <v>873</v>
      </c>
      <c r="G885" s="273">
        <v>2580</v>
      </c>
      <c r="H885" s="164">
        <v>1</v>
      </c>
      <c r="I885" s="164">
        <v>1</v>
      </c>
      <c r="J885" s="164">
        <v>1</v>
      </c>
      <c r="K885" s="164">
        <v>1</v>
      </c>
      <c r="L885" s="164">
        <v>2580</v>
      </c>
      <c r="M885" s="111"/>
      <c r="N885" s="111"/>
      <c r="O885" s="111"/>
      <c r="P885" s="111"/>
      <c r="Q885" s="111"/>
      <c r="R885" s="111"/>
      <c r="S885" s="712"/>
      <c r="T885" s="111"/>
      <c r="U885" s="111"/>
      <c r="V885" s="67"/>
      <c r="W885" s="111"/>
      <c r="X885" s="132"/>
      <c r="Y885" s="133"/>
      <c r="Z885" s="132"/>
      <c r="AA885" s="132"/>
      <c r="AB885" s="133"/>
      <c r="AC885" s="132"/>
      <c r="AD885" s="132"/>
      <c r="AE885" s="133"/>
      <c r="AF885" s="132"/>
      <c r="AG885" s="67"/>
    </row>
    <row r="886" spans="1:33">
      <c r="A886" s="134"/>
      <c r="B886" s="153">
        <v>4</v>
      </c>
      <c r="C886" s="121" t="s">
        <v>1441</v>
      </c>
      <c r="D886" s="121" t="s">
        <v>1452</v>
      </c>
      <c r="E886" s="121" t="s">
        <v>791</v>
      </c>
      <c r="F886" s="121" t="s">
        <v>873</v>
      </c>
      <c r="G886" s="273">
        <v>2580</v>
      </c>
      <c r="H886" s="164">
        <v>1</v>
      </c>
      <c r="I886" s="164">
        <v>1</v>
      </c>
      <c r="J886" s="164">
        <v>1</v>
      </c>
      <c r="K886" s="164">
        <v>1</v>
      </c>
      <c r="L886" s="164">
        <v>2580</v>
      </c>
      <c r="M886" s="111"/>
      <c r="N886" s="111"/>
      <c r="O886" s="111"/>
      <c r="P886" s="111"/>
      <c r="Q886" s="111"/>
      <c r="R886" s="111"/>
      <c r="S886" s="712"/>
      <c r="T886" s="111"/>
      <c r="U886" s="111"/>
      <c r="V886" s="67"/>
      <c r="W886" s="111"/>
      <c r="X886" s="132"/>
      <c r="Y886" s="133"/>
      <c r="Z886" s="132"/>
      <c r="AA886" s="132"/>
      <c r="AB886" s="133"/>
      <c r="AC886" s="132"/>
      <c r="AD886" s="132"/>
      <c r="AE886" s="133"/>
      <c r="AF886" s="132"/>
      <c r="AG886" s="67"/>
    </row>
    <row r="887" spans="1:33">
      <c r="A887" s="134"/>
      <c r="B887" s="153">
        <v>5</v>
      </c>
      <c r="C887" s="121" t="s">
        <v>1441</v>
      </c>
      <c r="D887" s="121" t="s">
        <v>1453</v>
      </c>
      <c r="E887" s="121" t="s">
        <v>791</v>
      </c>
      <c r="F887" s="121" t="s">
        <v>873</v>
      </c>
      <c r="G887" s="273">
        <v>2580</v>
      </c>
      <c r="H887" s="164">
        <v>25</v>
      </c>
      <c r="I887" s="164">
        <v>1</v>
      </c>
      <c r="J887" s="164">
        <v>1</v>
      </c>
      <c r="K887" s="164">
        <v>25</v>
      </c>
      <c r="L887" s="164">
        <v>64500</v>
      </c>
      <c r="M887" s="111"/>
      <c r="N887" s="111"/>
      <c r="O887" s="111"/>
      <c r="P887" s="111"/>
      <c r="Q887" s="111"/>
      <c r="R887" s="111"/>
      <c r="S887" s="712"/>
      <c r="T887" s="111"/>
      <c r="U887" s="111"/>
      <c r="V887" s="67"/>
      <c r="W887" s="111"/>
      <c r="X887" s="132"/>
      <c r="Y887" s="133"/>
      <c r="Z887" s="132"/>
      <c r="AA887" s="132"/>
      <c r="AB887" s="133"/>
      <c r="AC887" s="132"/>
      <c r="AD887" s="132"/>
      <c r="AE887" s="133"/>
      <c r="AF887" s="132"/>
      <c r="AG887" s="67"/>
    </row>
    <row r="888" spans="1:33">
      <c r="A888" s="134"/>
      <c r="B888" s="153">
        <v>6</v>
      </c>
      <c r="C888" s="121" t="s">
        <v>1441</v>
      </c>
      <c r="D888" s="121" t="s">
        <v>1454</v>
      </c>
      <c r="E888" s="121" t="s">
        <v>791</v>
      </c>
      <c r="F888" s="121" t="s">
        <v>873</v>
      </c>
      <c r="G888" s="273">
        <v>1935</v>
      </c>
      <c r="H888" s="164">
        <v>1</v>
      </c>
      <c r="I888" s="164">
        <v>1</v>
      </c>
      <c r="J888" s="164">
        <v>1</v>
      </c>
      <c r="K888" s="164">
        <v>1</v>
      </c>
      <c r="L888" s="164">
        <v>1935</v>
      </c>
      <c r="M888" s="111"/>
      <c r="N888" s="111"/>
      <c r="O888" s="111"/>
      <c r="P888" s="111"/>
      <c r="Q888" s="111"/>
      <c r="R888" s="111"/>
      <c r="S888" s="712"/>
      <c r="T888" s="111"/>
      <c r="U888" s="111"/>
      <c r="V888" s="67"/>
      <c r="W888" s="111"/>
      <c r="X888" s="132"/>
      <c r="Y888" s="133"/>
      <c r="Z888" s="132"/>
      <c r="AA888" s="132"/>
      <c r="AB888" s="133"/>
      <c r="AC888" s="132"/>
      <c r="AD888" s="132"/>
      <c r="AE888" s="133"/>
      <c r="AF888" s="132"/>
      <c r="AG888" s="67"/>
    </row>
    <row r="889" spans="1:33">
      <c r="A889" s="134"/>
      <c r="B889" s="153">
        <v>7</v>
      </c>
      <c r="C889" s="121" t="s">
        <v>1441</v>
      </c>
      <c r="D889" s="121" t="s">
        <v>1455</v>
      </c>
      <c r="E889" s="121" t="s">
        <v>791</v>
      </c>
      <c r="F889" s="121" t="s">
        <v>873</v>
      </c>
      <c r="G889" s="273">
        <v>1290</v>
      </c>
      <c r="H889" s="164">
        <v>1</v>
      </c>
      <c r="I889" s="164">
        <v>1</v>
      </c>
      <c r="J889" s="164">
        <v>1</v>
      </c>
      <c r="K889" s="164">
        <v>1</v>
      </c>
      <c r="L889" s="164">
        <v>1290</v>
      </c>
      <c r="M889" s="111"/>
      <c r="N889" s="111"/>
      <c r="O889" s="111"/>
      <c r="P889" s="111"/>
      <c r="Q889" s="111"/>
      <c r="R889" s="111"/>
      <c r="S889" s="712"/>
      <c r="T889" s="111"/>
      <c r="U889" s="111"/>
      <c r="V889" s="67"/>
      <c r="W889" s="111"/>
      <c r="X889" s="132"/>
      <c r="Y889" s="133"/>
      <c r="Z889" s="132"/>
      <c r="AA889" s="132"/>
      <c r="AB889" s="133"/>
      <c r="AC889" s="132"/>
      <c r="AD889" s="132"/>
      <c r="AE889" s="133"/>
      <c r="AF889" s="132"/>
      <c r="AG889" s="67"/>
    </row>
    <row r="890" spans="1:33">
      <c r="A890" s="134"/>
      <c r="B890" s="153">
        <v>8</v>
      </c>
      <c r="C890" s="121" t="s">
        <v>1441</v>
      </c>
      <c r="D890" s="121" t="s">
        <v>1456</v>
      </c>
      <c r="E890" s="121" t="s">
        <v>791</v>
      </c>
      <c r="F890" s="121" t="s">
        <v>873</v>
      </c>
      <c r="G890" s="273">
        <v>75400.5</v>
      </c>
      <c r="H890" s="164">
        <v>1</v>
      </c>
      <c r="I890" s="164">
        <v>1</v>
      </c>
      <c r="J890" s="164">
        <v>1</v>
      </c>
      <c r="K890" s="164">
        <v>1</v>
      </c>
      <c r="L890" s="164">
        <v>75400.5</v>
      </c>
      <c r="M890" s="111"/>
      <c r="N890" s="111"/>
      <c r="O890" s="111"/>
      <c r="P890" s="111"/>
      <c r="Q890" s="111"/>
      <c r="R890" s="111"/>
      <c r="S890" s="712"/>
      <c r="T890" s="111"/>
      <c r="U890" s="111"/>
      <c r="V890" s="67"/>
      <c r="W890" s="111"/>
      <c r="X890" s="132"/>
      <c r="Y890" s="133"/>
      <c r="Z890" s="132"/>
      <c r="AA890" s="132"/>
      <c r="AB890" s="133"/>
      <c r="AC890" s="132"/>
      <c r="AD890" s="132"/>
      <c r="AE890" s="133"/>
      <c r="AF890" s="132"/>
      <c r="AG890" s="67"/>
    </row>
    <row r="891" spans="1:33">
      <c r="A891" s="134"/>
      <c r="B891" s="153">
        <v>9</v>
      </c>
      <c r="C891" s="121" t="s">
        <v>1441</v>
      </c>
      <c r="D891" s="121" t="s">
        <v>1457</v>
      </c>
      <c r="E891" s="121" t="s">
        <v>791</v>
      </c>
      <c r="F891" s="121" t="s">
        <v>873</v>
      </c>
      <c r="G891" s="273">
        <v>38829</v>
      </c>
      <c r="H891" s="164">
        <v>1</v>
      </c>
      <c r="I891" s="164">
        <v>1</v>
      </c>
      <c r="J891" s="164">
        <v>1</v>
      </c>
      <c r="K891" s="164">
        <v>1</v>
      </c>
      <c r="L891" s="164">
        <v>38829</v>
      </c>
      <c r="M891" s="111"/>
      <c r="N891" s="111"/>
      <c r="O891" s="111"/>
      <c r="P891" s="111"/>
      <c r="Q891" s="111"/>
      <c r="R891" s="111"/>
      <c r="S891" s="712"/>
      <c r="T891" s="111"/>
      <c r="U891" s="111"/>
      <c r="V891" s="67"/>
      <c r="W891" s="111"/>
      <c r="X891" s="132"/>
      <c r="Y891" s="133"/>
      <c r="Z891" s="132"/>
      <c r="AA891" s="132"/>
      <c r="AB891" s="133"/>
      <c r="AC891" s="132"/>
      <c r="AD891" s="132"/>
      <c r="AE891" s="133"/>
      <c r="AF891" s="132"/>
      <c r="AG891" s="67"/>
    </row>
    <row r="892" spans="1:33">
      <c r="A892" s="134"/>
      <c r="B892" s="153">
        <v>10</v>
      </c>
      <c r="C892" s="121" t="s">
        <v>1441</v>
      </c>
      <c r="D892" s="121" t="s">
        <v>1458</v>
      </c>
      <c r="E892" s="121" t="s">
        <v>791</v>
      </c>
      <c r="F892" s="121" t="s">
        <v>873</v>
      </c>
      <c r="G892" s="273">
        <v>5160</v>
      </c>
      <c r="H892" s="164">
        <v>1</v>
      </c>
      <c r="I892" s="164">
        <v>1</v>
      </c>
      <c r="J892" s="164">
        <v>25</v>
      </c>
      <c r="K892" s="164">
        <v>25</v>
      </c>
      <c r="L892" s="164">
        <v>129000</v>
      </c>
      <c r="M892" s="111"/>
      <c r="N892" s="111"/>
      <c r="O892" s="111"/>
      <c r="P892" s="111"/>
      <c r="Q892" s="111"/>
      <c r="R892" s="111"/>
      <c r="S892" s="712"/>
      <c r="T892" s="111"/>
      <c r="U892" s="111"/>
      <c r="V892" s="67"/>
      <c r="W892" s="111"/>
      <c r="X892" s="132"/>
      <c r="Y892" s="133"/>
      <c r="Z892" s="132"/>
      <c r="AA892" s="132"/>
      <c r="AB892" s="133"/>
      <c r="AC892" s="132"/>
      <c r="AD892" s="132"/>
      <c r="AE892" s="133"/>
      <c r="AF892" s="132"/>
      <c r="AG892" s="67"/>
    </row>
    <row r="893" spans="1:33">
      <c r="A893" s="134"/>
      <c r="B893" s="153">
        <v>11</v>
      </c>
      <c r="C893" s="121" t="s">
        <v>1441</v>
      </c>
      <c r="D893" s="121" t="s">
        <v>1459</v>
      </c>
      <c r="E893" s="121" t="s">
        <v>791</v>
      </c>
      <c r="F893" s="121" t="s">
        <v>873</v>
      </c>
      <c r="G893" s="273">
        <v>43860</v>
      </c>
      <c r="H893" s="164">
        <v>1</v>
      </c>
      <c r="I893" s="164">
        <v>1</v>
      </c>
      <c r="J893" s="164">
        <v>25</v>
      </c>
      <c r="K893" s="164">
        <v>25</v>
      </c>
      <c r="L893" s="164">
        <v>1096500</v>
      </c>
      <c r="M893" s="111"/>
      <c r="N893" s="111"/>
      <c r="O893" s="111"/>
      <c r="P893" s="111"/>
      <c r="Q893" s="111"/>
      <c r="R893" s="111"/>
      <c r="S893" s="712"/>
      <c r="T893" s="111"/>
      <c r="U893" s="111"/>
      <c r="V893" s="67"/>
      <c r="W893" s="111"/>
      <c r="X893" s="132"/>
      <c r="Y893" s="133"/>
      <c r="Z893" s="132"/>
      <c r="AA893" s="132"/>
      <c r="AB893" s="133"/>
      <c r="AC893" s="132"/>
      <c r="AD893" s="132"/>
      <c r="AE893" s="133"/>
      <c r="AF893" s="132"/>
      <c r="AG893" s="67"/>
    </row>
    <row r="894" spans="1:33">
      <c r="A894" s="134"/>
      <c r="B894" s="153">
        <v>12</v>
      </c>
      <c r="C894" s="121" t="s">
        <v>1441</v>
      </c>
      <c r="D894" s="121" t="s">
        <v>1460</v>
      </c>
      <c r="E894" s="121" t="s">
        <v>791</v>
      </c>
      <c r="F894" s="121" t="s">
        <v>873</v>
      </c>
      <c r="G894" s="273">
        <v>2838</v>
      </c>
      <c r="H894" s="164">
        <v>1</v>
      </c>
      <c r="I894" s="164">
        <v>1</v>
      </c>
      <c r="J894" s="164">
        <v>25</v>
      </c>
      <c r="K894" s="164">
        <v>25</v>
      </c>
      <c r="L894" s="164">
        <v>70950</v>
      </c>
      <c r="M894" s="111"/>
      <c r="N894" s="111"/>
      <c r="O894" s="111"/>
      <c r="P894" s="111"/>
      <c r="Q894" s="111"/>
      <c r="R894" s="111"/>
      <c r="S894" s="712"/>
      <c r="T894" s="111"/>
      <c r="U894" s="111"/>
      <c r="V894" s="67"/>
      <c r="W894" s="111"/>
      <c r="X894" s="132"/>
      <c r="Y894" s="133"/>
      <c r="Z894" s="132"/>
      <c r="AA894" s="132"/>
      <c r="AB894" s="133"/>
      <c r="AC894" s="132"/>
      <c r="AD894" s="132"/>
      <c r="AE894" s="133"/>
      <c r="AF894" s="132"/>
      <c r="AG894" s="67"/>
    </row>
    <row r="895" spans="1:33">
      <c r="A895" s="134"/>
      <c r="B895" s="153">
        <v>13</v>
      </c>
      <c r="C895" s="121" t="s">
        <v>1441</v>
      </c>
      <c r="D895" s="121" t="s">
        <v>1461</v>
      </c>
      <c r="E895" s="121" t="s">
        <v>791</v>
      </c>
      <c r="F895" s="121" t="s">
        <v>873</v>
      </c>
      <c r="G895" s="273">
        <v>39990</v>
      </c>
      <c r="H895" s="164">
        <v>1</v>
      </c>
      <c r="I895" s="164">
        <v>1</v>
      </c>
      <c r="J895" s="164">
        <v>1</v>
      </c>
      <c r="K895" s="164">
        <v>1</v>
      </c>
      <c r="L895" s="164">
        <v>39990</v>
      </c>
      <c r="M895" s="111"/>
      <c r="N895" s="111"/>
      <c r="O895" s="111"/>
      <c r="P895" s="111"/>
      <c r="Q895" s="111"/>
      <c r="R895" s="111"/>
      <c r="S895" s="712"/>
      <c r="T895" s="111"/>
      <c r="U895" s="111"/>
      <c r="V895" s="67"/>
      <c r="W895" s="111"/>
      <c r="X895" s="132"/>
      <c r="Y895" s="133"/>
      <c r="Z895" s="132"/>
      <c r="AA895" s="132"/>
      <c r="AB895" s="133"/>
      <c r="AC895" s="132"/>
      <c r="AD895" s="132"/>
      <c r="AE895" s="133"/>
      <c r="AF895" s="132"/>
      <c r="AG895" s="67"/>
    </row>
    <row r="896" spans="1:33">
      <c r="A896" s="134"/>
      <c r="B896" s="153">
        <v>14</v>
      </c>
      <c r="C896" s="121" t="s">
        <v>1441</v>
      </c>
      <c r="D896" s="121" t="s">
        <v>1462</v>
      </c>
      <c r="E896" s="121" t="s">
        <v>791</v>
      </c>
      <c r="F896" s="121" t="s">
        <v>873</v>
      </c>
      <c r="G896" s="273">
        <v>27477</v>
      </c>
      <c r="H896" s="164">
        <v>1</v>
      </c>
      <c r="I896" s="164">
        <v>1</v>
      </c>
      <c r="J896" s="164">
        <v>1</v>
      </c>
      <c r="K896" s="164">
        <v>1</v>
      </c>
      <c r="L896" s="164">
        <v>27477</v>
      </c>
      <c r="M896" s="111"/>
      <c r="N896" s="111"/>
      <c r="O896" s="111"/>
      <c r="P896" s="111"/>
      <c r="Q896" s="111"/>
      <c r="R896" s="111"/>
      <c r="S896" s="712"/>
      <c r="T896" s="111"/>
      <c r="U896" s="111"/>
      <c r="V896" s="67"/>
      <c r="W896" s="111"/>
      <c r="X896" s="132"/>
      <c r="Y896" s="133"/>
      <c r="Z896" s="132"/>
      <c r="AA896" s="132"/>
      <c r="AB896" s="133"/>
      <c r="AC896" s="132"/>
      <c r="AD896" s="132"/>
      <c r="AE896" s="133"/>
      <c r="AF896" s="132"/>
      <c r="AG896" s="67"/>
    </row>
    <row r="897" spans="1:33">
      <c r="A897" s="134"/>
      <c r="B897" s="153">
        <v>15</v>
      </c>
      <c r="C897" s="121" t="s">
        <v>1441</v>
      </c>
      <c r="D897" s="121" t="s">
        <v>1463</v>
      </c>
      <c r="E897" s="121" t="s">
        <v>791</v>
      </c>
      <c r="F897" s="121" t="s">
        <v>873</v>
      </c>
      <c r="G897" s="273">
        <v>19350</v>
      </c>
      <c r="H897" s="164">
        <v>1</v>
      </c>
      <c r="I897" s="164">
        <v>1</v>
      </c>
      <c r="J897" s="164">
        <v>1</v>
      </c>
      <c r="K897" s="164">
        <v>1</v>
      </c>
      <c r="L897" s="164">
        <v>19350</v>
      </c>
      <c r="M897" s="111"/>
      <c r="N897" s="111"/>
      <c r="O897" s="111"/>
      <c r="P897" s="111"/>
      <c r="Q897" s="111"/>
      <c r="R897" s="111"/>
      <c r="S897" s="712"/>
      <c r="T897" s="111"/>
      <c r="U897" s="111"/>
      <c r="V897" s="67"/>
      <c r="W897" s="111"/>
      <c r="X897" s="132"/>
      <c r="Y897" s="133"/>
      <c r="Z897" s="132"/>
      <c r="AA897" s="132"/>
      <c r="AB897" s="133"/>
      <c r="AC897" s="132"/>
      <c r="AD897" s="132"/>
      <c r="AE897" s="133"/>
      <c r="AF897" s="132"/>
      <c r="AG897" s="67"/>
    </row>
    <row r="898" spans="1:33">
      <c r="A898" s="134"/>
      <c r="B898" s="153">
        <v>16</v>
      </c>
      <c r="C898" s="121" t="s">
        <v>1441</v>
      </c>
      <c r="D898" s="121" t="s">
        <v>1464</v>
      </c>
      <c r="E898" s="121" t="s">
        <v>791</v>
      </c>
      <c r="F898" s="121" t="s">
        <v>873</v>
      </c>
      <c r="G898" s="273">
        <v>1290</v>
      </c>
      <c r="H898" s="164">
        <v>1</v>
      </c>
      <c r="I898" s="164">
        <v>1</v>
      </c>
      <c r="J898" s="164">
        <v>1</v>
      </c>
      <c r="K898" s="164">
        <v>1</v>
      </c>
      <c r="L898" s="164">
        <v>1290</v>
      </c>
      <c r="M898" s="111"/>
      <c r="N898" s="111"/>
      <c r="O898" s="111"/>
      <c r="P898" s="111"/>
      <c r="Q898" s="111"/>
      <c r="R898" s="111"/>
      <c r="S898" s="712"/>
      <c r="T898" s="111"/>
      <c r="U898" s="111"/>
      <c r="V898" s="67"/>
      <c r="W898" s="111"/>
      <c r="X898" s="132"/>
      <c r="Y898" s="133"/>
      <c r="Z898" s="132"/>
      <c r="AA898" s="132"/>
      <c r="AB898" s="133"/>
      <c r="AC898" s="132"/>
      <c r="AD898" s="132"/>
      <c r="AE898" s="133"/>
      <c r="AF898" s="132"/>
      <c r="AG898" s="67"/>
    </row>
    <row r="899" spans="1:33">
      <c r="A899" s="134"/>
      <c r="B899" s="153">
        <v>17</v>
      </c>
      <c r="C899" s="121" t="s">
        <v>1441</v>
      </c>
      <c r="D899" s="121" t="s">
        <v>1465</v>
      </c>
      <c r="E899" s="121" t="s">
        <v>791</v>
      </c>
      <c r="F899" s="121" t="s">
        <v>873</v>
      </c>
      <c r="G899" s="273">
        <v>32250</v>
      </c>
      <c r="H899" s="164">
        <v>1</v>
      </c>
      <c r="I899" s="164">
        <v>1</v>
      </c>
      <c r="J899" s="164">
        <v>1</v>
      </c>
      <c r="K899" s="164">
        <v>1</v>
      </c>
      <c r="L899" s="164">
        <v>32250</v>
      </c>
      <c r="M899" s="111"/>
      <c r="N899" s="111"/>
      <c r="O899" s="111"/>
      <c r="P899" s="111"/>
      <c r="Q899" s="111"/>
      <c r="R899" s="111"/>
      <c r="S899" s="712"/>
      <c r="T899" s="111"/>
      <c r="U899" s="111"/>
      <c r="V899" s="67"/>
      <c r="W899" s="111"/>
      <c r="X899" s="132"/>
      <c r="Y899" s="133"/>
      <c r="Z899" s="132"/>
      <c r="AA899" s="132"/>
      <c r="AB899" s="133"/>
      <c r="AC899" s="132"/>
      <c r="AD899" s="132"/>
      <c r="AE899" s="133"/>
      <c r="AF899" s="132"/>
      <c r="AG899" s="67"/>
    </row>
    <row r="900" spans="1:33">
      <c r="A900" s="134"/>
      <c r="B900" s="153">
        <v>18</v>
      </c>
      <c r="C900" s="121" t="s">
        <v>1441</v>
      </c>
      <c r="D900" s="121" t="s">
        <v>1027</v>
      </c>
      <c r="E900" s="121" t="s">
        <v>791</v>
      </c>
      <c r="F900" s="121" t="s">
        <v>873</v>
      </c>
      <c r="G900" s="273">
        <v>64.5</v>
      </c>
      <c r="H900" s="164">
        <v>1</v>
      </c>
      <c r="I900" s="164">
        <v>200</v>
      </c>
      <c r="J900" s="164">
        <v>1</v>
      </c>
      <c r="K900" s="164">
        <v>200</v>
      </c>
      <c r="L900" s="164">
        <v>12900</v>
      </c>
      <c r="M900" s="111"/>
      <c r="N900" s="111"/>
      <c r="O900" s="111"/>
      <c r="P900" s="111"/>
      <c r="Q900" s="111"/>
      <c r="R900" s="111"/>
      <c r="S900" s="712"/>
      <c r="T900" s="111"/>
      <c r="U900" s="111"/>
      <c r="V900" s="67"/>
      <c r="W900" s="111"/>
      <c r="X900" s="132"/>
      <c r="Y900" s="133"/>
      <c r="Z900" s="132"/>
      <c r="AA900" s="132"/>
      <c r="AB900" s="133"/>
      <c r="AC900" s="132"/>
      <c r="AD900" s="132"/>
      <c r="AE900" s="133"/>
      <c r="AF900" s="132"/>
      <c r="AG900" s="67"/>
    </row>
    <row r="901" spans="1:33">
      <c r="A901" s="134"/>
      <c r="B901" s="153">
        <v>19</v>
      </c>
      <c r="C901" s="121" t="s">
        <v>1441</v>
      </c>
      <c r="D901" s="121" t="s">
        <v>1028</v>
      </c>
      <c r="E901" s="121" t="s">
        <v>791</v>
      </c>
      <c r="F901" s="121" t="s">
        <v>873</v>
      </c>
      <c r="G901" s="273">
        <v>64.5</v>
      </c>
      <c r="H901" s="164">
        <v>1</v>
      </c>
      <c r="I901" s="164">
        <v>200</v>
      </c>
      <c r="J901" s="164">
        <v>1</v>
      </c>
      <c r="K901" s="164">
        <v>200</v>
      </c>
      <c r="L901" s="164">
        <v>12900</v>
      </c>
      <c r="M901" s="111"/>
      <c r="N901" s="111"/>
      <c r="O901" s="111"/>
      <c r="P901" s="111"/>
      <c r="Q901" s="111"/>
      <c r="R901" s="111"/>
      <c r="S901" s="712"/>
      <c r="T901" s="111"/>
      <c r="U901" s="111"/>
      <c r="V901" s="67"/>
      <c r="W901" s="111"/>
      <c r="X901" s="132"/>
      <c r="Y901" s="133"/>
      <c r="Z901" s="132"/>
      <c r="AA901" s="132"/>
      <c r="AB901" s="133"/>
      <c r="AC901" s="132"/>
      <c r="AD901" s="132"/>
      <c r="AE901" s="133"/>
      <c r="AF901" s="132"/>
      <c r="AG901" s="67"/>
    </row>
    <row r="902" spans="1:33">
      <c r="A902" s="134"/>
      <c r="B902" s="274"/>
      <c r="C902" s="274"/>
      <c r="D902" s="275" t="s">
        <v>770</v>
      </c>
      <c r="E902" s="274"/>
      <c r="F902" s="274"/>
      <c r="G902" s="274"/>
      <c r="H902" s="274"/>
      <c r="I902" s="274"/>
      <c r="J902" s="274"/>
      <c r="K902" s="274"/>
      <c r="L902" s="276">
        <f>SUM(L883:L901)</f>
        <v>1723891.5</v>
      </c>
      <c r="M902" s="111"/>
      <c r="N902" s="111"/>
      <c r="O902" s="111"/>
      <c r="P902" s="111"/>
      <c r="Q902" s="111"/>
      <c r="R902" s="111"/>
      <c r="S902" s="712"/>
      <c r="T902" s="111"/>
      <c r="U902" s="111"/>
      <c r="V902" s="67"/>
      <c r="W902" s="111"/>
      <c r="X902" s="132"/>
      <c r="Y902" s="133"/>
      <c r="Z902" s="132"/>
      <c r="AA902" s="132"/>
      <c r="AB902" s="133"/>
      <c r="AC902" s="132"/>
      <c r="AD902" s="132"/>
      <c r="AE902" s="133"/>
      <c r="AF902" s="132"/>
      <c r="AG902" s="67"/>
    </row>
    <row r="903" spans="1:33">
      <c r="A903" s="9"/>
      <c r="B903" s="111"/>
      <c r="C903" s="111"/>
      <c r="D903" s="111"/>
      <c r="E903" s="111"/>
      <c r="F903" s="111"/>
      <c r="G903" s="111"/>
      <c r="H903" s="111"/>
      <c r="I903" s="111"/>
      <c r="J903" s="111"/>
      <c r="K903" s="204" t="s">
        <v>791</v>
      </c>
      <c r="L903" s="223">
        <f>SUM(L883:L901)/(I894*J894)/21</f>
        <v>3283.6028571428574</v>
      </c>
      <c r="M903" s="111"/>
      <c r="N903" s="111"/>
      <c r="O903" s="111"/>
      <c r="P903" s="111"/>
      <c r="Q903" s="111"/>
      <c r="R903" s="111"/>
      <c r="S903" s="712"/>
      <c r="T903" s="111"/>
      <c r="U903" s="111"/>
      <c r="V903" s="67"/>
      <c r="W903" s="111"/>
      <c r="X903" s="132"/>
      <c r="Y903" s="133"/>
      <c r="Z903" s="132"/>
      <c r="AA903" s="132"/>
      <c r="AB903" s="133"/>
      <c r="AC903" s="132"/>
      <c r="AD903" s="132"/>
      <c r="AE903" s="133"/>
      <c r="AF903" s="132"/>
      <c r="AG903" s="67"/>
    </row>
    <row r="904" spans="1:33">
      <c r="A904" s="9"/>
      <c r="B904" s="111"/>
      <c r="C904" s="111"/>
      <c r="D904" s="111"/>
      <c r="E904" s="111"/>
      <c r="F904" s="111"/>
      <c r="G904" s="111"/>
      <c r="H904" s="111"/>
      <c r="I904" s="111"/>
      <c r="J904" s="111"/>
      <c r="K904" s="206" t="s">
        <v>792</v>
      </c>
      <c r="L904" s="732">
        <f>L902/L903</f>
        <v>525</v>
      </c>
      <c r="M904" s="111"/>
      <c r="N904" s="111"/>
      <c r="O904" s="111"/>
      <c r="P904" s="111"/>
      <c r="Q904" s="111"/>
      <c r="R904" s="111"/>
      <c r="S904" s="712"/>
      <c r="T904" s="111"/>
      <c r="U904" s="111"/>
      <c r="V904" s="67"/>
      <c r="W904" s="111"/>
      <c r="X904" s="132"/>
      <c r="Y904" s="133"/>
      <c r="Z904" s="132"/>
      <c r="AA904" s="132"/>
      <c r="AB904" s="133"/>
      <c r="AC904" s="132"/>
      <c r="AD904" s="132"/>
      <c r="AE904" s="133"/>
      <c r="AF904" s="132"/>
      <c r="AG904" s="67"/>
    </row>
    <row r="905" spans="1:33">
      <c r="A905" s="9"/>
      <c r="B905" s="111"/>
      <c r="C905" s="111"/>
      <c r="D905" s="111"/>
      <c r="E905" s="111"/>
      <c r="F905" s="111"/>
      <c r="G905" s="111"/>
      <c r="H905" s="151"/>
      <c r="I905" s="151"/>
      <c r="J905" s="151"/>
      <c r="K905" s="151"/>
      <c r="L905" s="111"/>
      <c r="M905" s="111"/>
      <c r="N905" s="111"/>
      <c r="O905" s="111"/>
      <c r="P905" s="111"/>
      <c r="Q905" s="111"/>
      <c r="R905" s="111"/>
      <c r="S905" s="712"/>
      <c r="T905" s="111"/>
      <c r="U905" s="111"/>
      <c r="V905" s="67"/>
      <c r="W905" s="111"/>
      <c r="X905" s="132"/>
      <c r="Y905" s="111"/>
      <c r="Z905" s="111"/>
      <c r="AA905" s="111"/>
      <c r="AB905" s="111"/>
      <c r="AC905" s="111"/>
      <c r="AD905" s="111"/>
      <c r="AE905" s="111"/>
      <c r="AF905" s="111"/>
      <c r="AG905" s="67"/>
    </row>
    <row r="906" spans="1:33">
      <c r="A906" s="725">
        <v>48</v>
      </c>
      <c r="B906" s="726" t="s">
        <v>1466</v>
      </c>
      <c r="C906" s="731"/>
      <c r="D906" s="731"/>
      <c r="E906" s="731"/>
      <c r="F906" s="731"/>
      <c r="G906" s="731"/>
      <c r="H906" s="731"/>
      <c r="I906" s="111"/>
      <c r="J906" s="111"/>
      <c r="K906" s="111"/>
      <c r="L906" s="111"/>
      <c r="M906" s="111"/>
      <c r="N906" s="111"/>
      <c r="O906" s="111"/>
      <c r="P906" s="111"/>
      <c r="Q906" s="111"/>
      <c r="R906" s="111"/>
      <c r="S906" s="712"/>
      <c r="T906" s="111"/>
      <c r="U906" s="111"/>
      <c r="V906" s="67"/>
      <c r="W906" s="111"/>
      <c r="X906" s="132"/>
      <c r="Y906" s="133"/>
      <c r="Z906" s="132"/>
      <c r="AA906" s="132"/>
      <c r="AB906" s="133"/>
      <c r="AC906" s="132"/>
      <c r="AD906" s="132"/>
      <c r="AE906" s="133"/>
      <c r="AF906" s="132"/>
      <c r="AG906" s="67"/>
    </row>
    <row r="907" spans="1:33">
      <c r="A907" s="134"/>
      <c r="B907" s="113" t="s">
        <v>755</v>
      </c>
      <c r="C907" s="113" t="s">
        <v>1102</v>
      </c>
      <c r="D907" s="113" t="s">
        <v>1103</v>
      </c>
      <c r="E907" s="113" t="s">
        <v>765</v>
      </c>
      <c r="F907" s="113" t="s">
        <v>969</v>
      </c>
      <c r="G907" s="113" t="s">
        <v>1105</v>
      </c>
      <c r="H907" s="113" t="s">
        <v>787</v>
      </c>
      <c r="I907" s="111"/>
      <c r="J907" s="111"/>
      <c r="K907" s="111"/>
      <c r="L907" s="111"/>
      <c r="M907" s="111"/>
      <c r="N907" s="111"/>
      <c r="O907" s="111"/>
      <c r="P907" s="111"/>
      <c r="Q907" s="111"/>
      <c r="R907" s="111"/>
      <c r="S907" s="712"/>
      <c r="T907" s="111"/>
      <c r="U907" s="111"/>
      <c r="V907" s="67"/>
      <c r="W907" s="111"/>
      <c r="X907" s="132"/>
      <c r="Y907" s="133"/>
      <c r="Z907" s="132"/>
      <c r="AA907" s="132"/>
      <c r="AB907" s="133"/>
      <c r="AC907" s="132"/>
      <c r="AD907" s="132"/>
      <c r="AE907" s="133"/>
      <c r="AF907" s="132"/>
      <c r="AG907" s="67"/>
    </row>
    <row r="908" spans="1:33">
      <c r="A908" s="134"/>
      <c r="B908" s="252">
        <v>1</v>
      </c>
      <c r="C908" s="121" t="s">
        <v>1106</v>
      </c>
      <c r="D908" s="277">
        <v>20000</v>
      </c>
      <c r="E908" s="164">
        <v>1</v>
      </c>
      <c r="F908" s="164">
        <v>1</v>
      </c>
      <c r="G908" s="164">
        <f t="shared" ref="G908:G920" si="927">D908*E908*F908</f>
        <v>20000</v>
      </c>
      <c r="H908" s="164">
        <f>E908*20</f>
        <v>20</v>
      </c>
      <c r="I908" s="111"/>
      <c r="J908" s="111"/>
      <c r="K908" s="111"/>
      <c r="L908" s="111"/>
      <c r="M908" s="111"/>
      <c r="N908" s="111"/>
      <c r="O908" s="111"/>
      <c r="P908" s="111"/>
      <c r="Q908" s="111"/>
      <c r="R908" s="111"/>
      <c r="S908" s="712"/>
      <c r="T908" s="111"/>
      <c r="U908" s="111"/>
      <c r="V908" s="67"/>
      <c r="W908" s="111"/>
      <c r="X908" s="132"/>
      <c r="Y908" s="133"/>
      <c r="Z908" s="132"/>
      <c r="AA908" s="132"/>
      <c r="AB908" s="133"/>
      <c r="AC908" s="132"/>
      <c r="AD908" s="132"/>
      <c r="AE908" s="133"/>
      <c r="AF908" s="132"/>
      <c r="AG908" s="67"/>
    </row>
    <row r="909" spans="1:33">
      <c r="A909" s="134"/>
      <c r="B909" s="252">
        <v>2</v>
      </c>
      <c r="C909" s="121" t="s">
        <v>1467</v>
      </c>
      <c r="D909" s="277">
        <v>40000</v>
      </c>
      <c r="E909" s="164">
        <v>1</v>
      </c>
      <c r="F909" s="164">
        <v>8</v>
      </c>
      <c r="G909" s="164">
        <f t="shared" si="927"/>
        <v>320000</v>
      </c>
      <c r="H909" s="164">
        <f t="shared" ref="H909:H920" si="928">F909*20</f>
        <v>160</v>
      </c>
      <c r="I909" s="111"/>
      <c r="J909" s="111"/>
      <c r="K909" s="111"/>
      <c r="L909" s="111"/>
      <c r="M909" s="111"/>
      <c r="N909" s="111"/>
      <c r="O909" s="111"/>
      <c r="P909" s="111"/>
      <c r="Q909" s="111"/>
      <c r="R909" s="111"/>
      <c r="S909" s="712"/>
      <c r="T909" s="111"/>
      <c r="U909" s="111"/>
      <c r="V909" s="67"/>
      <c r="W909" s="111"/>
      <c r="X909" s="132"/>
      <c r="Y909" s="133"/>
      <c r="Z909" s="132"/>
      <c r="AA909" s="132"/>
      <c r="AB909" s="133"/>
      <c r="AC909" s="132"/>
      <c r="AD909" s="132"/>
      <c r="AE909" s="133"/>
      <c r="AF909" s="132"/>
      <c r="AG909" s="67"/>
    </row>
    <row r="910" spans="1:33">
      <c r="A910" s="134"/>
      <c r="B910" s="252">
        <v>3</v>
      </c>
      <c r="C910" s="121" t="s">
        <v>1468</v>
      </c>
      <c r="D910" s="277">
        <v>15000</v>
      </c>
      <c r="E910" s="164">
        <v>4</v>
      </c>
      <c r="F910" s="164">
        <v>6</v>
      </c>
      <c r="G910" s="164">
        <f t="shared" si="927"/>
        <v>360000</v>
      </c>
      <c r="H910" s="164">
        <f t="shared" si="928"/>
        <v>120</v>
      </c>
      <c r="I910" s="111"/>
      <c r="J910" s="111"/>
      <c r="K910" s="111"/>
      <c r="L910" s="111"/>
      <c r="M910" s="111"/>
      <c r="N910" s="111"/>
      <c r="O910" s="111"/>
      <c r="P910" s="111"/>
      <c r="Q910" s="111"/>
      <c r="R910" s="111"/>
      <c r="S910" s="712"/>
      <c r="T910" s="111"/>
      <c r="U910" s="111"/>
      <c r="V910" s="67"/>
      <c r="W910" s="111"/>
      <c r="X910" s="132"/>
      <c r="Y910" s="133"/>
      <c r="Z910" s="132"/>
      <c r="AA910" s="132"/>
      <c r="AB910" s="133"/>
      <c r="AC910" s="132"/>
      <c r="AD910" s="132"/>
      <c r="AE910" s="133"/>
      <c r="AF910" s="132"/>
      <c r="AG910" s="67"/>
    </row>
    <row r="911" spans="1:33">
      <c r="A911" s="134"/>
      <c r="B911" s="252">
        <v>4</v>
      </c>
      <c r="C911" s="121" t="s">
        <v>1469</v>
      </c>
      <c r="D911" s="277">
        <v>5400</v>
      </c>
      <c r="E911" s="164">
        <v>8</v>
      </c>
      <c r="F911" s="164">
        <v>3</v>
      </c>
      <c r="G911" s="164">
        <f t="shared" si="927"/>
        <v>129600</v>
      </c>
      <c r="H911" s="164">
        <f t="shared" si="928"/>
        <v>60</v>
      </c>
      <c r="I911" s="111"/>
      <c r="J911" s="111"/>
      <c r="K911" s="111"/>
      <c r="L911" s="111"/>
      <c r="M911" s="111"/>
      <c r="N911" s="111"/>
      <c r="O911" s="111"/>
      <c r="P911" s="111"/>
      <c r="Q911" s="111"/>
      <c r="R911" s="111"/>
      <c r="S911" s="712"/>
      <c r="T911" s="111"/>
      <c r="U911" s="111"/>
      <c r="V911" s="67"/>
      <c r="W911" s="111"/>
      <c r="X911" s="132"/>
      <c r="Y911" s="133"/>
      <c r="Z911" s="132"/>
      <c r="AA911" s="132"/>
      <c r="AB911" s="133"/>
      <c r="AC911" s="132"/>
      <c r="AD911" s="132"/>
      <c r="AE911" s="133"/>
      <c r="AF911" s="132"/>
      <c r="AG911" s="67"/>
    </row>
    <row r="912" spans="1:33">
      <c r="A912" s="134"/>
      <c r="B912" s="252">
        <v>5</v>
      </c>
      <c r="C912" s="121" t="s">
        <v>1470</v>
      </c>
      <c r="D912" s="277">
        <v>20000</v>
      </c>
      <c r="E912" s="164">
        <v>1</v>
      </c>
      <c r="F912" s="164">
        <v>2</v>
      </c>
      <c r="G912" s="164">
        <f t="shared" si="927"/>
        <v>40000</v>
      </c>
      <c r="H912" s="164">
        <f t="shared" si="928"/>
        <v>40</v>
      </c>
      <c r="I912" s="111"/>
      <c r="J912" s="111"/>
      <c r="K912" s="111"/>
      <c r="L912" s="111"/>
      <c r="M912" s="111"/>
      <c r="N912" s="111"/>
      <c r="O912" s="111"/>
      <c r="P912" s="111"/>
      <c r="Q912" s="111"/>
      <c r="R912" s="111"/>
      <c r="S912" s="712"/>
      <c r="T912" s="111"/>
      <c r="U912" s="111"/>
      <c r="V912" s="67"/>
      <c r="W912" s="111"/>
      <c r="X912" s="132"/>
      <c r="Y912" s="133"/>
      <c r="Z912" s="132"/>
      <c r="AA912" s="132"/>
      <c r="AB912" s="133"/>
      <c r="AC912" s="132"/>
      <c r="AD912" s="132"/>
      <c r="AE912" s="133"/>
      <c r="AF912" s="132"/>
      <c r="AG912" s="67"/>
    </row>
    <row r="913" spans="1:33">
      <c r="A913" s="134"/>
      <c r="B913" s="252">
        <v>6</v>
      </c>
      <c r="C913" s="121" t="s">
        <v>1471</v>
      </c>
      <c r="D913" s="277">
        <v>2000</v>
      </c>
      <c r="E913" s="164">
        <v>5</v>
      </c>
      <c r="F913" s="164">
        <v>4</v>
      </c>
      <c r="G913" s="164">
        <f t="shared" si="927"/>
        <v>40000</v>
      </c>
      <c r="H913" s="164">
        <f t="shared" si="928"/>
        <v>80</v>
      </c>
      <c r="I913" s="111"/>
      <c r="J913" s="111"/>
      <c r="K913" s="111"/>
      <c r="L913" s="111"/>
      <c r="M913" s="111"/>
      <c r="N913" s="111"/>
      <c r="O913" s="111"/>
      <c r="P913" s="111"/>
      <c r="Q913" s="111"/>
      <c r="R913" s="111"/>
      <c r="S913" s="712"/>
      <c r="T913" s="111"/>
      <c r="U913" s="111"/>
      <c r="V913" s="67"/>
      <c r="W913" s="111"/>
      <c r="X913" s="132"/>
      <c r="Y913" s="133"/>
      <c r="Z913" s="132"/>
      <c r="AA913" s="132"/>
      <c r="AB913" s="133"/>
      <c r="AC913" s="132"/>
      <c r="AD913" s="132"/>
      <c r="AE913" s="133"/>
      <c r="AF913" s="132"/>
      <c r="AG913" s="67"/>
    </row>
    <row r="914" spans="1:33">
      <c r="A914" s="134"/>
      <c r="B914" s="252">
        <v>7</v>
      </c>
      <c r="C914" s="121" t="s">
        <v>1472</v>
      </c>
      <c r="D914" s="277">
        <v>50</v>
      </c>
      <c r="E914" s="164">
        <v>400</v>
      </c>
      <c r="F914" s="164">
        <v>1</v>
      </c>
      <c r="G914" s="164">
        <f t="shared" si="927"/>
        <v>20000</v>
      </c>
      <c r="H914" s="164">
        <f t="shared" si="928"/>
        <v>20</v>
      </c>
      <c r="I914" s="111"/>
      <c r="J914" s="111"/>
      <c r="K914" s="111"/>
      <c r="L914" s="111"/>
      <c r="M914" s="111"/>
      <c r="N914" s="111"/>
      <c r="O914" s="111"/>
      <c r="P914" s="111"/>
      <c r="Q914" s="111"/>
      <c r="R914" s="111"/>
      <c r="S914" s="712"/>
      <c r="T914" s="111"/>
      <c r="U914" s="111"/>
      <c r="V914" s="67"/>
      <c r="W914" s="111"/>
      <c r="X914" s="132"/>
      <c r="Y914" s="133"/>
      <c r="Z914" s="132"/>
      <c r="AA914" s="132"/>
      <c r="AB914" s="133"/>
      <c r="AC914" s="132"/>
      <c r="AD914" s="132"/>
      <c r="AE914" s="133"/>
      <c r="AF914" s="132"/>
      <c r="AG914" s="67"/>
    </row>
    <row r="915" spans="1:33">
      <c r="A915" s="134"/>
      <c r="B915" s="252">
        <v>8</v>
      </c>
      <c r="C915" s="121" t="s">
        <v>742</v>
      </c>
      <c r="D915" s="277">
        <v>5400</v>
      </c>
      <c r="E915" s="164">
        <v>2</v>
      </c>
      <c r="F915" s="164">
        <v>6</v>
      </c>
      <c r="G915" s="164">
        <f t="shared" si="927"/>
        <v>64800</v>
      </c>
      <c r="H915" s="164">
        <f t="shared" si="928"/>
        <v>120</v>
      </c>
      <c r="I915" s="111"/>
      <c r="J915" s="111"/>
      <c r="K915" s="111"/>
      <c r="L915" s="111"/>
      <c r="M915" s="111"/>
      <c r="N915" s="111"/>
      <c r="O915" s="111"/>
      <c r="P915" s="111"/>
      <c r="Q915" s="111"/>
      <c r="R915" s="111"/>
      <c r="S915" s="712"/>
      <c r="T915" s="111"/>
      <c r="U915" s="111"/>
      <c r="V915" s="67"/>
      <c r="W915" s="111"/>
      <c r="X915" s="132"/>
      <c r="Y915" s="133"/>
      <c r="Z915" s="132"/>
      <c r="AA915" s="132"/>
      <c r="AB915" s="133"/>
      <c r="AC915" s="132"/>
      <c r="AD915" s="132"/>
      <c r="AE915" s="133"/>
      <c r="AF915" s="132"/>
      <c r="AG915" s="67"/>
    </row>
    <row r="916" spans="1:33">
      <c r="A916" s="134"/>
      <c r="B916" s="252">
        <v>9</v>
      </c>
      <c r="C916" s="121" t="s">
        <v>1473</v>
      </c>
      <c r="D916" s="277">
        <v>3000</v>
      </c>
      <c r="E916" s="164">
        <v>6</v>
      </c>
      <c r="F916" s="164">
        <v>1</v>
      </c>
      <c r="G916" s="164">
        <f t="shared" si="927"/>
        <v>18000</v>
      </c>
      <c r="H916" s="164">
        <f t="shared" si="928"/>
        <v>20</v>
      </c>
      <c r="I916" s="111"/>
      <c r="J916" s="111"/>
      <c r="K916" s="111"/>
      <c r="L916" s="111"/>
      <c r="M916" s="111"/>
      <c r="N916" s="111"/>
      <c r="O916" s="111"/>
      <c r="P916" s="111"/>
      <c r="Q916" s="111"/>
      <c r="R916" s="111"/>
      <c r="S916" s="712"/>
      <c r="T916" s="111"/>
      <c r="U916" s="111"/>
      <c r="V916" s="67"/>
      <c r="W916" s="111"/>
      <c r="X916" s="132"/>
      <c r="Y916" s="133"/>
      <c r="Z916" s="132"/>
      <c r="AA916" s="132"/>
      <c r="AB916" s="133"/>
      <c r="AC916" s="132"/>
      <c r="AD916" s="132"/>
      <c r="AE916" s="133"/>
      <c r="AF916" s="132"/>
      <c r="AG916" s="67"/>
    </row>
    <row r="917" spans="1:33">
      <c r="A917" s="134"/>
      <c r="B917" s="252">
        <v>10</v>
      </c>
      <c r="C917" s="121" t="s">
        <v>1474</v>
      </c>
      <c r="D917" s="277">
        <v>810</v>
      </c>
      <c r="E917" s="164">
        <v>1</v>
      </c>
      <c r="F917" s="164">
        <v>86</v>
      </c>
      <c r="G917" s="164">
        <f t="shared" si="927"/>
        <v>69660</v>
      </c>
      <c r="H917" s="164">
        <f t="shared" si="928"/>
        <v>1720</v>
      </c>
      <c r="I917" s="111"/>
      <c r="J917" s="111"/>
      <c r="K917" s="111"/>
      <c r="L917" s="111"/>
      <c r="M917" s="111"/>
      <c r="N917" s="111"/>
      <c r="O917" s="111"/>
      <c r="P917" s="111"/>
      <c r="Q917" s="111"/>
      <c r="R917" s="111"/>
      <c r="S917" s="712"/>
      <c r="T917" s="111"/>
      <c r="U917" s="111"/>
      <c r="V917" s="67"/>
      <c r="W917" s="111"/>
      <c r="X917" s="132"/>
      <c r="Y917" s="133"/>
      <c r="Z917" s="132"/>
      <c r="AA917" s="132"/>
      <c r="AB917" s="133"/>
      <c r="AC917" s="132"/>
      <c r="AD917" s="132"/>
      <c r="AE917" s="133"/>
      <c r="AF917" s="132"/>
      <c r="AG917" s="67"/>
    </row>
    <row r="918" spans="1:33">
      <c r="A918" s="134"/>
      <c r="B918" s="252">
        <v>11</v>
      </c>
      <c r="C918" s="121" t="s">
        <v>1475</v>
      </c>
      <c r="D918" s="277">
        <v>40000</v>
      </c>
      <c r="E918" s="164">
        <v>1</v>
      </c>
      <c r="F918" s="164">
        <v>1</v>
      </c>
      <c r="G918" s="164">
        <f t="shared" si="927"/>
        <v>40000</v>
      </c>
      <c r="H918" s="164">
        <f t="shared" si="928"/>
        <v>20</v>
      </c>
      <c r="I918" s="111"/>
      <c r="J918" s="111"/>
      <c r="K918" s="111"/>
      <c r="L918" s="111"/>
      <c r="M918" s="111"/>
      <c r="N918" s="111"/>
      <c r="O918" s="111"/>
      <c r="P918" s="111"/>
      <c r="Q918" s="111"/>
      <c r="R918" s="111"/>
      <c r="S918" s="712"/>
      <c r="T918" s="111"/>
      <c r="U918" s="111"/>
      <c r="V918" s="67"/>
      <c r="W918" s="111"/>
      <c r="X918" s="132"/>
      <c r="Y918" s="133"/>
      <c r="Z918" s="132"/>
      <c r="AA918" s="132"/>
      <c r="AB918" s="133"/>
      <c r="AC918" s="132"/>
      <c r="AD918" s="132"/>
      <c r="AE918" s="133"/>
      <c r="AF918" s="132"/>
      <c r="AG918" s="67"/>
    </row>
    <row r="919" spans="1:33">
      <c r="A919" s="134"/>
      <c r="B919" s="252">
        <v>12</v>
      </c>
      <c r="C919" s="121" t="s">
        <v>1111</v>
      </c>
      <c r="D919" s="277">
        <v>30000</v>
      </c>
      <c r="E919" s="164">
        <v>1</v>
      </c>
      <c r="F919" s="164">
        <v>1</v>
      </c>
      <c r="G919" s="164">
        <f t="shared" si="927"/>
        <v>30000</v>
      </c>
      <c r="H919" s="164">
        <f t="shared" si="928"/>
        <v>20</v>
      </c>
      <c r="I919" s="111"/>
      <c r="J919" s="111"/>
      <c r="K919" s="111"/>
      <c r="L919" s="111"/>
      <c r="M919" s="111"/>
      <c r="N919" s="111"/>
      <c r="O919" s="111"/>
      <c r="P919" s="111"/>
      <c r="Q919" s="111"/>
      <c r="R919" s="111"/>
      <c r="S919" s="712"/>
      <c r="T919" s="111"/>
      <c r="U919" s="111"/>
      <c r="V919" s="67"/>
      <c r="W919" s="111"/>
      <c r="X919" s="132"/>
      <c r="Y919" s="133"/>
      <c r="Z919" s="132"/>
      <c r="AA919" s="132"/>
      <c r="AB919" s="133"/>
      <c r="AC919" s="132"/>
      <c r="AD919" s="132"/>
      <c r="AE919" s="133"/>
      <c r="AF919" s="132"/>
      <c r="AG919" s="67"/>
    </row>
    <row r="920" spans="1:33">
      <c r="A920" s="134"/>
      <c r="B920" s="252">
        <v>13</v>
      </c>
      <c r="C920" s="121" t="s">
        <v>962</v>
      </c>
      <c r="D920" s="277">
        <v>15000</v>
      </c>
      <c r="E920" s="164">
        <v>1</v>
      </c>
      <c r="F920" s="164">
        <v>1</v>
      </c>
      <c r="G920" s="164">
        <f t="shared" si="927"/>
        <v>15000</v>
      </c>
      <c r="H920" s="164">
        <f t="shared" si="928"/>
        <v>20</v>
      </c>
      <c r="I920" s="111"/>
      <c r="J920" s="111"/>
      <c r="K920" s="111"/>
      <c r="L920" s="111"/>
      <c r="M920" s="111"/>
      <c r="N920" s="111"/>
      <c r="O920" s="111"/>
      <c r="P920" s="111"/>
      <c r="Q920" s="111"/>
      <c r="R920" s="111"/>
      <c r="S920" s="712"/>
      <c r="T920" s="111"/>
      <c r="U920" s="111"/>
      <c r="V920" s="67"/>
      <c r="W920" s="111"/>
      <c r="X920" s="132"/>
      <c r="Y920" s="133"/>
      <c r="Z920" s="132"/>
      <c r="AA920" s="132"/>
      <c r="AB920" s="133"/>
      <c r="AC920" s="132"/>
      <c r="AD920" s="132"/>
      <c r="AE920" s="133"/>
      <c r="AF920" s="132"/>
      <c r="AG920" s="67"/>
    </row>
    <row r="921" spans="1:33">
      <c r="A921" s="134"/>
      <c r="B921" s="278"/>
      <c r="C921" s="278" t="s">
        <v>770</v>
      </c>
      <c r="D921" s="278"/>
      <c r="E921" s="278"/>
      <c r="F921" s="278"/>
      <c r="G921" s="279">
        <f>SUM(G908:G920)</f>
        <v>1167060</v>
      </c>
      <c r="H921" s="278"/>
      <c r="I921" s="111"/>
      <c r="J921" s="111"/>
      <c r="K921" s="111"/>
      <c r="L921" s="111"/>
      <c r="M921" s="111"/>
      <c r="N921" s="111"/>
      <c r="O921" s="111"/>
      <c r="P921" s="111"/>
      <c r="Q921" s="111"/>
      <c r="R921" s="111"/>
      <c r="S921" s="712"/>
      <c r="T921" s="111"/>
      <c r="U921" s="111"/>
      <c r="V921" s="67"/>
      <c r="W921" s="111"/>
      <c r="X921" s="132"/>
      <c r="Y921" s="133"/>
      <c r="Z921" s="132"/>
      <c r="AA921" s="132"/>
      <c r="AB921" s="133"/>
      <c r="AC921" s="132"/>
      <c r="AD921" s="132"/>
      <c r="AE921" s="133"/>
      <c r="AF921" s="132"/>
      <c r="AG921" s="67"/>
    </row>
    <row r="922" spans="1:33">
      <c r="A922" s="9"/>
      <c r="B922" s="203"/>
      <c r="C922" s="203"/>
      <c r="D922" s="203"/>
      <c r="E922" s="203"/>
      <c r="F922" s="204" t="s">
        <v>791</v>
      </c>
      <c r="G922" s="280">
        <f>G921/SUM(H908:H920)</f>
        <v>482.25619834710744</v>
      </c>
      <c r="H922" s="281"/>
      <c r="I922" s="111"/>
      <c r="J922" s="111"/>
      <c r="K922" s="111"/>
      <c r="L922" s="111"/>
      <c r="M922" s="111"/>
      <c r="N922" s="111"/>
      <c r="O922" s="111"/>
      <c r="P922" s="111"/>
      <c r="Q922" s="111"/>
      <c r="R922" s="111"/>
      <c r="S922" s="712"/>
      <c r="T922" s="111"/>
      <c r="U922" s="111"/>
      <c r="V922" s="67"/>
      <c r="W922" s="111"/>
      <c r="X922" s="132"/>
      <c r="Y922" s="133"/>
      <c r="Z922" s="132"/>
      <c r="AA922" s="132"/>
      <c r="AB922" s="133"/>
      <c r="AC922" s="132"/>
      <c r="AD922" s="132"/>
      <c r="AE922" s="133"/>
      <c r="AF922" s="132"/>
      <c r="AG922" s="67"/>
    </row>
    <row r="923" spans="1:33">
      <c r="A923" s="9"/>
      <c r="B923" s="203"/>
      <c r="C923" s="203"/>
      <c r="D923" s="203"/>
      <c r="E923" s="203"/>
      <c r="F923" s="282" t="s">
        <v>792</v>
      </c>
      <c r="G923" s="734">
        <f>G921/G922</f>
        <v>2420</v>
      </c>
      <c r="H923" s="281"/>
      <c r="I923" s="111"/>
      <c r="J923" s="111"/>
      <c r="K923" s="111"/>
      <c r="L923" s="111"/>
      <c r="M923" s="111"/>
      <c r="N923" s="111"/>
      <c r="O923" s="111"/>
      <c r="P923" s="111"/>
      <c r="Q923" s="111"/>
      <c r="R923" s="111"/>
      <c r="S923" s="712"/>
      <c r="T923" s="111"/>
      <c r="U923" s="111"/>
      <c r="V923" s="67"/>
      <c r="W923" s="111"/>
      <c r="X923" s="132"/>
      <c r="Y923" s="133"/>
      <c r="Z923" s="132"/>
      <c r="AA923" s="132"/>
      <c r="AB923" s="133"/>
      <c r="AC923" s="132"/>
      <c r="AD923" s="132"/>
      <c r="AE923" s="133"/>
      <c r="AF923" s="132"/>
      <c r="AG923" s="67"/>
    </row>
    <row r="924" spans="1:33">
      <c r="A924" s="9"/>
      <c r="B924" s="111"/>
      <c r="C924" s="111"/>
      <c r="D924" s="111"/>
      <c r="E924" s="111"/>
      <c r="F924" s="111"/>
      <c r="G924" s="111"/>
      <c r="H924" s="151"/>
      <c r="I924" s="111"/>
      <c r="J924" s="111"/>
      <c r="K924" s="111"/>
      <c r="L924" s="111"/>
      <c r="M924" s="111"/>
      <c r="N924" s="111"/>
      <c r="O924" s="111"/>
      <c r="P924" s="111"/>
      <c r="Q924" s="111"/>
      <c r="R924" s="111"/>
      <c r="S924" s="712"/>
      <c r="T924" s="111"/>
      <c r="U924" s="111"/>
      <c r="V924" s="67"/>
      <c r="W924" s="111"/>
      <c r="X924" s="132"/>
      <c r="Y924" s="111"/>
      <c r="Z924" s="111"/>
      <c r="AA924" s="111"/>
      <c r="AB924" s="111"/>
      <c r="AC924" s="111"/>
      <c r="AD924" s="111"/>
      <c r="AE924" s="111"/>
      <c r="AF924" s="111"/>
      <c r="AG924" s="67"/>
    </row>
    <row r="925" spans="1:33">
      <c r="A925" s="725">
        <v>49</v>
      </c>
      <c r="B925" s="726" t="e" vm="1">
        <f>'[2]AUN Budget'!$E$193</f>
        <v>#VALUE!</v>
      </c>
      <c r="C925" s="731"/>
      <c r="D925" s="731"/>
      <c r="E925" s="731"/>
      <c r="F925" s="731"/>
      <c r="G925" s="731"/>
      <c r="H925" s="731"/>
      <c r="I925" s="111"/>
      <c r="J925" s="111"/>
      <c r="K925" s="111"/>
      <c r="L925" s="111"/>
      <c r="M925" s="111"/>
      <c r="N925" s="111"/>
      <c r="O925" s="111"/>
      <c r="P925" s="111"/>
      <c r="Q925" s="111"/>
      <c r="R925" s="111"/>
      <c r="S925" s="712"/>
      <c r="T925" s="111"/>
      <c r="U925" s="111"/>
      <c r="V925" s="67"/>
      <c r="W925" s="111"/>
      <c r="X925" s="132"/>
      <c r="Y925" s="111"/>
      <c r="Z925" s="111"/>
      <c r="AA925" s="111"/>
      <c r="AB925" s="111"/>
      <c r="AC925" s="111"/>
      <c r="AD925" s="111"/>
      <c r="AE925" s="111"/>
      <c r="AF925" s="111"/>
      <c r="AG925" s="67"/>
    </row>
    <row r="926" spans="1:33">
      <c r="A926" s="134"/>
      <c r="B926" s="113" t="s">
        <v>755</v>
      </c>
      <c r="C926" s="113" t="s">
        <v>1304</v>
      </c>
      <c r="D926" s="113" t="s">
        <v>1305</v>
      </c>
      <c r="E926" s="113" t="s">
        <v>697</v>
      </c>
      <c r="F926" s="113" t="s">
        <v>1476</v>
      </c>
      <c r="G926" s="113" t="s">
        <v>1477</v>
      </c>
      <c r="H926" s="113" t="s">
        <v>1478</v>
      </c>
      <c r="I926" s="111"/>
      <c r="J926" s="111"/>
      <c r="K926" s="111"/>
      <c r="L926" s="111"/>
      <c r="M926" s="111"/>
      <c r="N926" s="111"/>
      <c r="O926" s="111"/>
      <c r="P926" s="111"/>
      <c r="Q926" s="111"/>
      <c r="R926" s="111"/>
      <c r="S926" s="712"/>
      <c r="T926" s="159" t="s">
        <v>387</v>
      </c>
      <c r="U926" s="159" t="s">
        <v>388</v>
      </c>
      <c r="V926" s="160" t="s">
        <v>934</v>
      </c>
      <c r="W926" s="160" t="s">
        <v>935</v>
      </c>
      <c r="X926" s="161" t="s">
        <v>936</v>
      </c>
      <c r="Y926" s="162" t="s">
        <v>937</v>
      </c>
      <c r="Z926" s="161" t="s">
        <v>938</v>
      </c>
      <c r="AA926" s="111"/>
      <c r="AB926" s="111"/>
      <c r="AC926" s="111"/>
      <c r="AD926" s="111"/>
      <c r="AE926" s="111"/>
      <c r="AF926" s="111"/>
      <c r="AG926" s="67"/>
    </row>
    <row r="927" spans="1:33">
      <c r="A927" s="134"/>
      <c r="B927" s="153">
        <v>1</v>
      </c>
      <c r="C927" s="153"/>
      <c r="D927" s="154" t="s">
        <v>1479</v>
      </c>
      <c r="E927" s="153" t="s">
        <v>949</v>
      </c>
      <c r="F927" s="164">
        <v>10</v>
      </c>
      <c r="G927" s="164">
        <f>'Assumptions TRC_AUN'!$I$146</f>
        <v>4400</v>
      </c>
      <c r="H927" s="164">
        <f t="shared" ref="H927:H932" si="929">$F927*G927</f>
        <v>44000</v>
      </c>
      <c r="I927" s="111"/>
      <c r="J927" s="151"/>
      <c r="K927" s="111"/>
      <c r="L927" s="111"/>
      <c r="M927" s="111"/>
      <c r="N927" s="111"/>
      <c r="O927" s="111"/>
      <c r="P927" s="111"/>
      <c r="Q927" s="111"/>
      <c r="R927" s="111"/>
      <c r="S927" s="712"/>
      <c r="T927" s="169" t="s">
        <v>946</v>
      </c>
      <c r="U927" s="169" t="s">
        <v>946</v>
      </c>
      <c r="V927" s="121" t="s">
        <v>950</v>
      </c>
      <c r="W927" s="121" t="s">
        <v>951</v>
      </c>
      <c r="X927" s="170">
        <f>'Assumptions TRC_AUN'!I147</f>
        <v>440</v>
      </c>
      <c r="Y927" s="200">
        <f t="shared" ref="Y927:Y932" si="930">Z927/X927</f>
        <v>100</v>
      </c>
      <c r="Z927" s="167">
        <f t="shared" ref="Z927:Z932" si="931">H927</f>
        <v>44000</v>
      </c>
      <c r="AA927" s="111"/>
      <c r="AB927" s="111"/>
      <c r="AC927" s="111"/>
      <c r="AD927" s="111"/>
      <c r="AE927" s="111"/>
      <c r="AF927" s="111"/>
      <c r="AG927" s="67"/>
    </row>
    <row r="928" spans="1:33">
      <c r="A928" s="134"/>
      <c r="B928" s="153">
        <v>2</v>
      </c>
      <c r="C928" s="153"/>
      <c r="D928" s="154" t="s">
        <v>1480</v>
      </c>
      <c r="E928" s="153" t="s">
        <v>949</v>
      </c>
      <c r="F928" s="164">
        <v>1</v>
      </c>
      <c r="G928" s="164">
        <f>'Assumptions TRC_AUN'!$I$126</f>
        <v>956742</v>
      </c>
      <c r="H928" s="164">
        <f t="shared" si="929"/>
        <v>956742</v>
      </c>
      <c r="I928" s="180" t="s">
        <v>973</v>
      </c>
      <c r="J928" s="151"/>
      <c r="K928" s="111"/>
      <c r="L928" s="111"/>
      <c r="M928" s="111"/>
      <c r="N928" s="111"/>
      <c r="O928" s="111"/>
      <c r="P928" s="111"/>
      <c r="Q928" s="111"/>
      <c r="R928" s="111"/>
      <c r="S928" s="712"/>
      <c r="T928" s="169" t="s">
        <v>946</v>
      </c>
      <c r="U928" s="169" t="s">
        <v>946</v>
      </c>
      <c r="V928" s="121" t="s">
        <v>950</v>
      </c>
      <c r="W928" s="121" t="s">
        <v>951</v>
      </c>
      <c r="X928" s="170">
        <f>'Assumptions TRC_AUN'!I127</f>
        <v>2126.0933333333332</v>
      </c>
      <c r="Y928" s="200">
        <f t="shared" si="930"/>
        <v>450</v>
      </c>
      <c r="Z928" s="167">
        <f t="shared" si="931"/>
        <v>956742</v>
      </c>
      <c r="AA928" s="111"/>
      <c r="AB928" s="111"/>
      <c r="AC928" s="111"/>
      <c r="AD928" s="111"/>
      <c r="AE928" s="111"/>
      <c r="AF928" s="111"/>
      <c r="AG928" s="67"/>
    </row>
    <row r="929" spans="1:33">
      <c r="A929" s="134"/>
      <c r="B929" s="153">
        <v>3</v>
      </c>
      <c r="C929" s="153"/>
      <c r="D929" s="154" t="s">
        <v>1481</v>
      </c>
      <c r="E929" s="153" t="s">
        <v>949</v>
      </c>
      <c r="F929" s="164">
        <v>4</v>
      </c>
      <c r="G929" s="164">
        <f>'Assumptions TRC_AUN'!$J$54</f>
        <v>81914.5</v>
      </c>
      <c r="H929" s="164">
        <f t="shared" si="929"/>
        <v>327658</v>
      </c>
      <c r="I929" s="283">
        <f>'Assumptions TRC_AUN'!I54</f>
        <v>163829</v>
      </c>
      <c r="J929" s="151"/>
      <c r="K929" s="111"/>
      <c r="L929" s="111"/>
      <c r="M929" s="111"/>
      <c r="N929" s="111"/>
      <c r="O929" s="111"/>
      <c r="P929" s="111"/>
      <c r="Q929" s="111"/>
      <c r="R929" s="111"/>
      <c r="S929" s="712"/>
      <c r="T929" s="169" t="s">
        <v>946</v>
      </c>
      <c r="U929" s="169" t="s">
        <v>946</v>
      </c>
      <c r="V929" s="121" t="s">
        <v>950</v>
      </c>
      <c r="W929" s="121" t="s">
        <v>951</v>
      </c>
      <c r="X929" s="170">
        <f>'Assumptions TRC_AUN'!$J$55</f>
        <v>1050.1858974358975</v>
      </c>
      <c r="Y929" s="200">
        <f t="shared" si="930"/>
        <v>312</v>
      </c>
      <c r="Z929" s="167">
        <f t="shared" si="931"/>
        <v>327658</v>
      </c>
      <c r="AA929" s="170">
        <f>'Assumptions TRC_AUN'!$I$55</f>
        <v>2100.3717948717949</v>
      </c>
      <c r="AB929" s="200">
        <f>AC929/AA929</f>
        <v>312</v>
      </c>
      <c r="AC929" s="167">
        <f>I929*F929</f>
        <v>655316</v>
      </c>
      <c r="AD929" s="111"/>
      <c r="AE929" s="111"/>
      <c r="AF929" s="111"/>
      <c r="AG929" s="67"/>
    </row>
    <row r="930" spans="1:33">
      <c r="A930" s="134"/>
      <c r="B930" s="153">
        <v>4</v>
      </c>
      <c r="C930" s="153"/>
      <c r="D930" s="154" t="s">
        <v>1482</v>
      </c>
      <c r="E930" s="153" t="s">
        <v>949</v>
      </c>
      <c r="F930" s="164">
        <v>5</v>
      </c>
      <c r="G930" s="164">
        <f>'Assumptions TRC_AUN'!$J$109</f>
        <v>40080</v>
      </c>
      <c r="H930" s="164">
        <f t="shared" si="929"/>
        <v>200400</v>
      </c>
      <c r="I930" s="111"/>
      <c r="J930" s="151"/>
      <c r="K930" s="111"/>
      <c r="L930" s="111"/>
      <c r="M930" s="111"/>
      <c r="N930" s="111"/>
      <c r="O930" s="111"/>
      <c r="P930" s="111"/>
      <c r="Q930" s="111"/>
      <c r="R930" s="111"/>
      <c r="S930" s="712"/>
      <c r="T930" s="169" t="s">
        <v>946</v>
      </c>
      <c r="U930" s="169" t="s">
        <v>946</v>
      </c>
      <c r="V930" s="121" t="s">
        <v>950</v>
      </c>
      <c r="W930" s="121" t="s">
        <v>951</v>
      </c>
      <c r="X930" s="170">
        <f>'Assumptions TRC_AUN'!$J$110</f>
        <v>1336</v>
      </c>
      <c r="Y930" s="200">
        <f t="shared" si="930"/>
        <v>150</v>
      </c>
      <c r="Z930" s="167">
        <f t="shared" si="931"/>
        <v>200400</v>
      </c>
      <c r="AA930" s="111"/>
      <c r="AB930" s="111"/>
      <c r="AC930" s="111"/>
      <c r="AD930" s="111"/>
      <c r="AE930" s="111"/>
      <c r="AF930" s="111"/>
      <c r="AG930" s="67"/>
    </row>
    <row r="931" spans="1:33">
      <c r="A931" s="134"/>
      <c r="B931" s="153">
        <v>5</v>
      </c>
      <c r="C931" s="153"/>
      <c r="D931" s="154" t="s">
        <v>1483</v>
      </c>
      <c r="E931" s="153" t="s">
        <v>1191</v>
      </c>
      <c r="F931" s="164">
        <v>6</v>
      </c>
      <c r="G931" s="164">
        <f>'Assumptions TRC_AUN'!$I$224</f>
        <v>68940</v>
      </c>
      <c r="H931" s="164">
        <f t="shared" si="929"/>
        <v>413640</v>
      </c>
      <c r="I931" s="111"/>
      <c r="J931" s="151"/>
      <c r="K931" s="111"/>
      <c r="L931" s="111"/>
      <c r="M931" s="111"/>
      <c r="N931" s="111"/>
      <c r="O931" s="111"/>
      <c r="P931" s="111"/>
      <c r="Q931" s="111"/>
      <c r="R931" s="111"/>
      <c r="S931" s="712"/>
      <c r="T931" s="169" t="s">
        <v>946</v>
      </c>
      <c r="U931" s="169" t="s">
        <v>946</v>
      </c>
      <c r="V931" s="121" t="s">
        <v>809</v>
      </c>
      <c r="W931" s="121" t="s">
        <v>791</v>
      </c>
      <c r="X931" s="170">
        <f>'Assumptions TRC_AUN'!$I$225</f>
        <v>8617.5</v>
      </c>
      <c r="Y931" s="200">
        <f t="shared" si="930"/>
        <v>48</v>
      </c>
      <c r="Z931" s="167">
        <f t="shared" si="931"/>
        <v>413640</v>
      </c>
      <c r="AA931" s="111"/>
      <c r="AB931" s="111"/>
      <c r="AC931" s="111"/>
      <c r="AD931" s="111"/>
      <c r="AE931" s="111"/>
      <c r="AF931" s="111"/>
      <c r="AG931" s="67"/>
    </row>
    <row r="932" spans="1:33">
      <c r="A932" s="134"/>
      <c r="B932" s="153">
        <v>6</v>
      </c>
      <c r="C932" s="153"/>
      <c r="D932" s="154" t="s">
        <v>1484</v>
      </c>
      <c r="E932" s="153" t="s">
        <v>949</v>
      </c>
      <c r="F932" s="164">
        <v>4</v>
      </c>
      <c r="G932" s="164">
        <f>'Assumptions TRC_AUN'!$J$71</f>
        <v>52696.125</v>
      </c>
      <c r="H932" s="164">
        <f t="shared" si="929"/>
        <v>210784.5</v>
      </c>
      <c r="I932" s="111"/>
      <c r="J932" s="151"/>
      <c r="K932" s="111"/>
      <c r="L932" s="111"/>
      <c r="M932" s="111"/>
      <c r="N932" s="111"/>
      <c r="O932" s="111"/>
      <c r="P932" s="111"/>
      <c r="Q932" s="111"/>
      <c r="R932" s="111"/>
      <c r="S932" s="712"/>
      <c r="T932" s="169" t="s">
        <v>946</v>
      </c>
      <c r="U932" s="169" t="s">
        <v>946</v>
      </c>
      <c r="V932" s="121" t="s">
        <v>950</v>
      </c>
      <c r="W932" s="121" t="s">
        <v>951</v>
      </c>
      <c r="X932" s="170">
        <f>'Assumptions TRC_AUN'!$J$72</f>
        <v>878.26874999999995</v>
      </c>
      <c r="Y932" s="200">
        <f t="shared" si="930"/>
        <v>240</v>
      </c>
      <c r="Z932" s="167">
        <f t="shared" si="931"/>
        <v>210784.5</v>
      </c>
      <c r="AA932" s="111"/>
      <c r="AB932" s="111"/>
      <c r="AC932" s="111"/>
      <c r="AD932" s="111"/>
      <c r="AE932" s="111"/>
      <c r="AF932" s="111"/>
      <c r="AG932" s="67"/>
    </row>
    <row r="933" spans="1:33">
      <c r="A933" s="134"/>
      <c r="B933" s="186"/>
      <c r="C933" s="186" t="s">
        <v>770</v>
      </c>
      <c r="D933" s="186"/>
      <c r="E933" s="186"/>
      <c r="F933" s="276"/>
      <c r="G933" s="276"/>
      <c r="H933" s="276">
        <f>SUM(H927:H932)</f>
        <v>2153224.5</v>
      </c>
      <c r="I933" s="111"/>
      <c r="J933" s="111"/>
      <c r="K933" s="111"/>
      <c r="L933" s="111"/>
      <c r="M933" s="111"/>
      <c r="N933" s="111"/>
      <c r="O933" s="111"/>
      <c r="P933" s="111"/>
      <c r="Q933" s="111"/>
      <c r="R933" s="111"/>
      <c r="S933" s="712"/>
      <c r="T933" s="111"/>
      <c r="U933" s="111"/>
      <c r="V933" s="67"/>
      <c r="W933" s="111"/>
      <c r="X933" s="132"/>
      <c r="Y933" s="111"/>
      <c r="Z933" s="111"/>
      <c r="AA933" s="111"/>
      <c r="AB933" s="111"/>
      <c r="AC933" s="111"/>
      <c r="AD933" s="111"/>
      <c r="AE933" s="111"/>
      <c r="AF933" s="111"/>
      <c r="AG933" s="67"/>
    </row>
    <row r="934" spans="1:33">
      <c r="A934" s="9"/>
      <c r="B934" s="111"/>
      <c r="C934" s="111"/>
      <c r="D934" s="111"/>
      <c r="E934" s="111"/>
      <c r="F934" s="111"/>
      <c r="G934" s="111"/>
      <c r="H934" s="151"/>
      <c r="I934" s="151"/>
      <c r="J934" s="151"/>
      <c r="K934" s="151"/>
      <c r="L934" s="111"/>
      <c r="M934" s="111"/>
      <c r="N934" s="111"/>
      <c r="O934" s="111"/>
      <c r="P934" s="111"/>
      <c r="Q934" s="111"/>
      <c r="R934" s="111"/>
      <c r="S934" s="712"/>
      <c r="T934" s="111"/>
      <c r="U934" s="111"/>
      <c r="V934" s="67"/>
      <c r="W934" s="111"/>
      <c r="X934" s="132"/>
      <c r="Y934" s="111"/>
      <c r="Z934" s="111"/>
      <c r="AA934" s="111"/>
      <c r="AB934" s="111"/>
      <c r="AC934" s="111"/>
      <c r="AD934" s="111"/>
      <c r="AE934" s="111"/>
      <c r="AF934" s="111"/>
      <c r="AG934" s="67"/>
    </row>
    <row r="935" spans="1:33">
      <c r="A935" s="725">
        <v>50</v>
      </c>
      <c r="B935" s="726" t="e" vm="1">
        <f>'[2]AUN Budget'!E230</f>
        <v>#VALUE!</v>
      </c>
      <c r="C935" s="731"/>
      <c r="D935" s="731"/>
      <c r="E935" s="731"/>
      <c r="F935" s="731"/>
      <c r="G935" s="731"/>
      <c r="H935" s="731"/>
      <c r="I935" s="731"/>
      <c r="J935" s="731"/>
      <c r="K935" s="731"/>
      <c r="L935" s="132"/>
      <c r="M935" s="111"/>
      <c r="N935" s="111"/>
      <c r="O935" s="111"/>
      <c r="P935" s="111"/>
      <c r="Q935" s="111"/>
      <c r="R935" s="111"/>
      <c r="S935" s="712"/>
      <c r="T935" s="111"/>
      <c r="U935" s="111"/>
      <c r="V935" s="67"/>
      <c r="W935" s="111"/>
      <c r="X935" s="132"/>
      <c r="Y935" s="111"/>
      <c r="Z935" s="111"/>
      <c r="AA935" s="111"/>
      <c r="AB935" s="111"/>
      <c r="AC935" s="111"/>
      <c r="AD935" s="111"/>
      <c r="AE935" s="111"/>
      <c r="AF935" s="111"/>
      <c r="AG935" s="67"/>
    </row>
    <row r="936" spans="1:33">
      <c r="A936" s="134"/>
      <c r="B936" s="113" t="s">
        <v>755</v>
      </c>
      <c r="C936" s="113" t="s">
        <v>1304</v>
      </c>
      <c r="D936" s="113" t="s">
        <v>1305</v>
      </c>
      <c r="E936" s="113" t="s">
        <v>1388</v>
      </c>
      <c r="F936" s="113" t="s">
        <v>1307</v>
      </c>
      <c r="G936" s="113" t="s">
        <v>1308</v>
      </c>
      <c r="H936" s="113" t="s">
        <v>1309</v>
      </c>
      <c r="I936" s="113" t="s">
        <v>972</v>
      </c>
      <c r="J936" s="113" t="s">
        <v>973</v>
      </c>
      <c r="K936" s="113" t="s">
        <v>974</v>
      </c>
      <c r="L936" s="111"/>
      <c r="M936" s="111"/>
      <c r="N936" s="111"/>
      <c r="O936" s="111"/>
      <c r="P936" s="111"/>
      <c r="Q936" s="111"/>
      <c r="R936" s="111"/>
      <c r="S936" s="712"/>
      <c r="T936" s="159" t="s">
        <v>387</v>
      </c>
      <c r="U936" s="159" t="s">
        <v>388</v>
      </c>
      <c r="V936" s="160" t="s">
        <v>934</v>
      </c>
      <c r="W936" s="160" t="s">
        <v>935</v>
      </c>
      <c r="X936" s="161" t="s">
        <v>936</v>
      </c>
      <c r="Y936" s="162" t="s">
        <v>937</v>
      </c>
      <c r="Z936" s="161" t="s">
        <v>938</v>
      </c>
      <c r="AA936" s="159" t="s">
        <v>939</v>
      </c>
      <c r="AB936" s="159" t="s">
        <v>940</v>
      </c>
      <c r="AC936" s="160" t="s">
        <v>941</v>
      </c>
      <c r="AD936" s="160" t="s">
        <v>942</v>
      </c>
      <c r="AE936" s="161" t="s">
        <v>943</v>
      </c>
      <c r="AF936" s="162" t="s">
        <v>944</v>
      </c>
      <c r="AG936" s="67"/>
    </row>
    <row r="937" spans="1:33">
      <c r="A937" s="134"/>
      <c r="B937" s="153">
        <v>1</v>
      </c>
      <c r="C937" s="245" t="s">
        <v>1485</v>
      </c>
      <c r="D937" s="245" t="s">
        <v>1486</v>
      </c>
      <c r="E937" s="164">
        <f>'Assumptions TRC_AUN'!$E$33</f>
        <v>3334</v>
      </c>
      <c r="F937" s="164">
        <v>29</v>
      </c>
      <c r="G937" s="164">
        <v>0</v>
      </c>
      <c r="H937" s="164">
        <v>0</v>
      </c>
      <c r="I937" s="164">
        <f t="shared" ref="I937:K937" si="932">$E937*F937</f>
        <v>96686</v>
      </c>
      <c r="J937" s="164">
        <f t="shared" si="932"/>
        <v>0</v>
      </c>
      <c r="K937" s="164">
        <f t="shared" si="932"/>
        <v>0</v>
      </c>
      <c r="L937" s="284"/>
      <c r="M937" s="111"/>
      <c r="N937" s="111"/>
      <c r="O937" s="111"/>
      <c r="P937" s="111"/>
      <c r="Q937" s="111"/>
      <c r="R937" s="111"/>
      <c r="S937" s="712"/>
      <c r="T937" s="169" t="s">
        <v>946</v>
      </c>
      <c r="U937" s="169" t="s">
        <v>946</v>
      </c>
      <c r="V937" s="121" t="s">
        <v>848</v>
      </c>
      <c r="W937" s="164" t="s">
        <v>947</v>
      </c>
      <c r="X937" s="170">
        <f>'Assumptions TRC_AUN'!$E$33</f>
        <v>3334</v>
      </c>
      <c r="Y937" s="200">
        <f t="shared" ref="Y937:Y944" si="933">Z937/X937</f>
        <v>29</v>
      </c>
      <c r="Z937" s="167">
        <f t="shared" ref="Z937:Z944" si="934">I937</f>
        <v>96686</v>
      </c>
      <c r="AA937" s="170">
        <f>'Assumptions TRC_AUN'!$E$33</f>
        <v>3334</v>
      </c>
      <c r="AB937" s="200">
        <f t="shared" ref="AB937:AB941" si="935">AC937/AA937</f>
        <v>0</v>
      </c>
      <c r="AC937" s="167">
        <f t="shared" ref="AC937:AC944" si="936">J937</f>
        <v>0</v>
      </c>
      <c r="AD937" s="170">
        <f>'Assumptions TRC_AUN'!$E$33</f>
        <v>3334</v>
      </c>
      <c r="AE937" s="200">
        <f t="shared" ref="AE937:AE941" si="937">AF937/AD937</f>
        <v>0</v>
      </c>
      <c r="AF937" s="167">
        <f t="shared" ref="AF937:AF944" si="938">K937</f>
        <v>0</v>
      </c>
      <c r="AG937" s="67"/>
    </row>
    <row r="938" spans="1:33">
      <c r="A938" s="134"/>
      <c r="B938" s="153">
        <v>1</v>
      </c>
      <c r="C938" s="245" t="s">
        <v>1485</v>
      </c>
      <c r="D938" s="245" t="s">
        <v>1487</v>
      </c>
      <c r="E938" s="164">
        <f>'Assumptions TRC_AUN'!$E$33</f>
        <v>3334</v>
      </c>
      <c r="F938" s="164">
        <v>6</v>
      </c>
      <c r="G938" s="164">
        <v>0</v>
      </c>
      <c r="H938" s="164">
        <v>0</v>
      </c>
      <c r="I938" s="164">
        <f t="shared" ref="I938:K938" si="939">$E938*F938</f>
        <v>20004</v>
      </c>
      <c r="J938" s="164">
        <f t="shared" si="939"/>
        <v>0</v>
      </c>
      <c r="K938" s="164">
        <f t="shared" si="939"/>
        <v>0</v>
      </c>
      <c r="L938" s="284"/>
      <c r="M938" s="111"/>
      <c r="N938" s="111"/>
      <c r="O938" s="111"/>
      <c r="P938" s="111"/>
      <c r="Q938" s="111"/>
      <c r="R938" s="111"/>
      <c r="S938" s="712"/>
      <c r="T938" s="169" t="s">
        <v>946</v>
      </c>
      <c r="U938" s="169" t="s">
        <v>946</v>
      </c>
      <c r="V938" s="121" t="s">
        <v>848</v>
      </c>
      <c r="W938" s="164" t="s">
        <v>947</v>
      </c>
      <c r="X938" s="170">
        <f>'Assumptions TRC_AUN'!$E$33</f>
        <v>3334</v>
      </c>
      <c r="Y938" s="200">
        <f t="shared" si="933"/>
        <v>6</v>
      </c>
      <c r="Z938" s="167">
        <f t="shared" si="934"/>
        <v>20004</v>
      </c>
      <c r="AA938" s="170">
        <f>'Assumptions TRC_AUN'!$E$33</f>
        <v>3334</v>
      </c>
      <c r="AB938" s="200">
        <f t="shared" si="935"/>
        <v>0</v>
      </c>
      <c r="AC938" s="167">
        <f t="shared" si="936"/>
        <v>0</v>
      </c>
      <c r="AD938" s="170">
        <f>'Assumptions TRC_AUN'!$E$33</f>
        <v>3334</v>
      </c>
      <c r="AE938" s="200">
        <f t="shared" si="937"/>
        <v>0</v>
      </c>
      <c r="AF938" s="167">
        <f t="shared" si="938"/>
        <v>0</v>
      </c>
      <c r="AG938" s="67"/>
    </row>
    <row r="939" spans="1:33">
      <c r="A939" s="134"/>
      <c r="B939" s="153">
        <v>1</v>
      </c>
      <c r="C939" s="245" t="s">
        <v>1485</v>
      </c>
      <c r="D939" s="245" t="s">
        <v>1488</v>
      </c>
      <c r="E939" s="164">
        <f>'Assumptions TRC_AUN'!J90</f>
        <v>10982.125</v>
      </c>
      <c r="F939" s="164">
        <v>9</v>
      </c>
      <c r="G939" s="164">
        <v>0</v>
      </c>
      <c r="H939" s="164">
        <v>0</v>
      </c>
      <c r="I939" s="164">
        <f t="shared" ref="I939:K939" si="940">$E939*F939</f>
        <v>98839.125</v>
      </c>
      <c r="J939" s="164">
        <f t="shared" si="940"/>
        <v>0</v>
      </c>
      <c r="K939" s="164">
        <f t="shared" si="940"/>
        <v>0</v>
      </c>
      <c r="L939" s="284"/>
      <c r="M939" s="111"/>
      <c r="N939" s="111"/>
      <c r="O939" s="111"/>
      <c r="P939" s="111"/>
      <c r="Q939" s="111"/>
      <c r="R939" s="111"/>
      <c r="S939" s="712"/>
      <c r="T939" s="169" t="s">
        <v>946</v>
      </c>
      <c r="U939" s="169" t="s">
        <v>946</v>
      </c>
      <c r="V939" s="121" t="s">
        <v>848</v>
      </c>
      <c r="W939" s="164" t="s">
        <v>947</v>
      </c>
      <c r="X939" s="170">
        <f>'Assumptions TRC_AUN'!$E$33</f>
        <v>3334</v>
      </c>
      <c r="Y939" s="200">
        <f t="shared" si="933"/>
        <v>29.645808338332333</v>
      </c>
      <c r="Z939" s="167">
        <f t="shared" si="934"/>
        <v>98839.125</v>
      </c>
      <c r="AA939" s="170">
        <f>'Assumptions TRC_AUN'!$E$33</f>
        <v>3334</v>
      </c>
      <c r="AB939" s="200">
        <f t="shared" si="935"/>
        <v>0</v>
      </c>
      <c r="AC939" s="167">
        <f t="shared" si="936"/>
        <v>0</v>
      </c>
      <c r="AD939" s="170">
        <f>'Assumptions TRC_AUN'!$E$33</f>
        <v>3334</v>
      </c>
      <c r="AE939" s="200">
        <f t="shared" si="937"/>
        <v>0</v>
      </c>
      <c r="AF939" s="167">
        <f t="shared" si="938"/>
        <v>0</v>
      </c>
      <c r="AG939" s="67"/>
    </row>
    <row r="940" spans="1:33">
      <c r="A940" s="134"/>
      <c r="B940" s="153">
        <v>2</v>
      </c>
      <c r="C940" s="245"/>
      <c r="D940" s="245" t="s">
        <v>1489</v>
      </c>
      <c r="E940" s="194">
        <f>'Assumptions HR_AUN'!E5*0.6</f>
        <v>15116.4</v>
      </c>
      <c r="F940" s="164">
        <f t="shared" ref="F940:H940" si="941">12*2</f>
        <v>24</v>
      </c>
      <c r="G940" s="164">
        <f t="shared" si="941"/>
        <v>24</v>
      </c>
      <c r="H940" s="164">
        <f t="shared" si="941"/>
        <v>24</v>
      </c>
      <c r="I940" s="164">
        <f t="shared" ref="I940:K940" si="942">$E940*F940</f>
        <v>362793.6</v>
      </c>
      <c r="J940" s="164">
        <f t="shared" si="942"/>
        <v>362793.6</v>
      </c>
      <c r="K940" s="164">
        <f t="shared" si="942"/>
        <v>362793.6</v>
      </c>
      <c r="L940" s="111"/>
      <c r="M940" s="111"/>
      <c r="N940" s="111"/>
      <c r="O940" s="111"/>
      <c r="P940" s="111"/>
      <c r="Q940" s="111"/>
      <c r="R940" s="111"/>
      <c r="S940" s="712"/>
      <c r="T940" s="169" t="s">
        <v>946</v>
      </c>
      <c r="U940" s="169" t="s">
        <v>946</v>
      </c>
      <c r="V940" s="121" t="s">
        <v>848</v>
      </c>
      <c r="W940" s="164" t="s">
        <v>947</v>
      </c>
      <c r="X940" s="170">
        <f>'Assumptions TRC_AUN'!$E$33</f>
        <v>3334</v>
      </c>
      <c r="Y940" s="200">
        <f t="shared" si="933"/>
        <v>108.81631673665267</v>
      </c>
      <c r="Z940" s="167">
        <f t="shared" si="934"/>
        <v>362793.6</v>
      </c>
      <c r="AA940" s="170">
        <f>'Assumptions TRC_AUN'!$E$33</f>
        <v>3334</v>
      </c>
      <c r="AB940" s="200">
        <f t="shared" si="935"/>
        <v>108.81631673665267</v>
      </c>
      <c r="AC940" s="167">
        <f t="shared" si="936"/>
        <v>362793.6</v>
      </c>
      <c r="AD940" s="170">
        <f>'Assumptions TRC_AUN'!$E$33</f>
        <v>3334</v>
      </c>
      <c r="AE940" s="200">
        <f t="shared" si="937"/>
        <v>108.81631673665267</v>
      </c>
      <c r="AF940" s="167">
        <f t="shared" si="938"/>
        <v>362793.6</v>
      </c>
      <c r="AG940" s="67"/>
    </row>
    <row r="941" spans="1:33">
      <c r="A941" s="134"/>
      <c r="B941" s="153">
        <v>3</v>
      </c>
      <c r="C941" s="245"/>
      <c r="D941" s="245" t="s">
        <v>1490</v>
      </c>
      <c r="E941" s="164">
        <f>'Assumptions TRC_AUN'!I$174</f>
        <v>5745</v>
      </c>
      <c r="F941" s="164">
        <v>18</v>
      </c>
      <c r="G941" s="164">
        <v>18</v>
      </c>
      <c r="H941" s="164">
        <v>18</v>
      </c>
      <c r="I941" s="164">
        <f t="shared" ref="I941:K941" si="943">$E941*F941</f>
        <v>103410</v>
      </c>
      <c r="J941" s="164">
        <f t="shared" si="943"/>
        <v>103410</v>
      </c>
      <c r="K941" s="164">
        <f t="shared" si="943"/>
        <v>103410</v>
      </c>
      <c r="L941" s="111"/>
      <c r="M941" s="111"/>
      <c r="N941" s="111"/>
      <c r="O941" s="111"/>
      <c r="P941" s="111"/>
      <c r="Q941" s="111"/>
      <c r="R941" s="111"/>
      <c r="S941" s="712"/>
      <c r="T941" s="169" t="s">
        <v>946</v>
      </c>
      <c r="U941" s="169" t="s">
        <v>946</v>
      </c>
      <c r="V941" s="121" t="s">
        <v>809</v>
      </c>
      <c r="W941" s="121" t="s">
        <v>791</v>
      </c>
      <c r="X941" s="170">
        <f>'Assumptions TRC_AUN'!$I$175</f>
        <v>2872.5</v>
      </c>
      <c r="Y941" s="200">
        <f t="shared" si="933"/>
        <v>36</v>
      </c>
      <c r="Z941" s="167">
        <f t="shared" si="934"/>
        <v>103410</v>
      </c>
      <c r="AA941" s="170">
        <f>'Assumptions TRC_AUN'!$I$175</f>
        <v>2872.5</v>
      </c>
      <c r="AB941" s="200">
        <f t="shared" si="935"/>
        <v>36</v>
      </c>
      <c r="AC941" s="167">
        <f t="shared" si="936"/>
        <v>103410</v>
      </c>
      <c r="AD941" s="170">
        <f>'Assumptions TRC_AUN'!$I$175</f>
        <v>2872.5</v>
      </c>
      <c r="AE941" s="200">
        <f t="shared" si="937"/>
        <v>36</v>
      </c>
      <c r="AF941" s="167">
        <f t="shared" si="938"/>
        <v>103410</v>
      </c>
      <c r="AG941" s="67"/>
    </row>
    <row r="942" spans="1:33">
      <c r="A942" s="134"/>
      <c r="B942" s="153">
        <v>4</v>
      </c>
      <c r="C942" s="245"/>
      <c r="D942" s="245" t="s">
        <v>1491</v>
      </c>
      <c r="E942" s="164">
        <f>'Assumptions TRC_AUN'!$J$109</f>
        <v>40080</v>
      </c>
      <c r="F942" s="164">
        <v>2</v>
      </c>
      <c r="G942" s="164">
        <v>2</v>
      </c>
      <c r="H942" s="164">
        <v>2</v>
      </c>
      <c r="I942" s="164">
        <f t="shared" ref="I942:K942" si="944">$E942*F942</f>
        <v>80160</v>
      </c>
      <c r="J942" s="164">
        <f t="shared" si="944"/>
        <v>80160</v>
      </c>
      <c r="K942" s="164">
        <f t="shared" si="944"/>
        <v>80160</v>
      </c>
      <c r="L942" s="111"/>
      <c r="M942" s="111"/>
      <c r="N942" s="111"/>
      <c r="O942" s="111"/>
      <c r="P942" s="111"/>
      <c r="Q942" s="111"/>
      <c r="R942" s="111"/>
      <c r="S942" s="712"/>
      <c r="T942" s="169" t="s">
        <v>946</v>
      </c>
      <c r="U942" s="169" t="s">
        <v>946</v>
      </c>
      <c r="V942" s="121" t="s">
        <v>950</v>
      </c>
      <c r="W942" s="121" t="s">
        <v>951</v>
      </c>
      <c r="X942" s="170">
        <f>'Assumptions TRC_AUN'!$J$110</f>
        <v>1336</v>
      </c>
      <c r="Y942" s="200">
        <f t="shared" si="933"/>
        <v>60</v>
      </c>
      <c r="Z942" s="167">
        <f t="shared" si="934"/>
        <v>80160</v>
      </c>
      <c r="AA942" s="170">
        <f>'Assumptions TRC_AUN'!$J$110</f>
        <v>1336</v>
      </c>
      <c r="AB942" s="200"/>
      <c r="AC942" s="167">
        <f t="shared" si="936"/>
        <v>80160</v>
      </c>
      <c r="AD942" s="170">
        <f>'Assumptions TRC_AUN'!$J$110</f>
        <v>1336</v>
      </c>
      <c r="AE942" s="200"/>
      <c r="AF942" s="167">
        <f t="shared" si="938"/>
        <v>80160</v>
      </c>
      <c r="AG942" s="67"/>
    </row>
    <row r="943" spans="1:33">
      <c r="A943" s="134"/>
      <c r="B943" s="153">
        <v>5</v>
      </c>
      <c r="C943" s="245"/>
      <c r="D943" s="245" t="s">
        <v>1492</v>
      </c>
      <c r="E943" s="194">
        <f>'Assumptions HR_AUN'!$E$3</f>
        <v>38383</v>
      </c>
      <c r="F943" s="164">
        <v>12</v>
      </c>
      <c r="G943" s="164">
        <v>0</v>
      </c>
      <c r="H943" s="164">
        <v>12</v>
      </c>
      <c r="I943" s="164">
        <f t="shared" ref="I943:K943" si="945">$E943*F943</f>
        <v>460596</v>
      </c>
      <c r="J943" s="164">
        <f t="shared" si="945"/>
        <v>0</v>
      </c>
      <c r="K943" s="164">
        <f t="shared" si="945"/>
        <v>460596</v>
      </c>
      <c r="L943" s="111"/>
      <c r="M943" s="111"/>
      <c r="N943" s="111"/>
      <c r="O943" s="111"/>
      <c r="P943" s="111"/>
      <c r="Q943" s="111"/>
      <c r="R943" s="111"/>
      <c r="S943" s="712"/>
      <c r="T943" s="169" t="s">
        <v>946</v>
      </c>
      <c r="U943" s="169" t="s">
        <v>946</v>
      </c>
      <c r="V943" s="121" t="s">
        <v>848</v>
      </c>
      <c r="W943" s="164" t="s">
        <v>947</v>
      </c>
      <c r="X943" s="170">
        <f>'Assumptions TRC_AUN'!$E$33</f>
        <v>3334</v>
      </c>
      <c r="Y943" s="200">
        <f t="shared" si="933"/>
        <v>138.15116976604679</v>
      </c>
      <c r="Z943" s="167">
        <f t="shared" si="934"/>
        <v>460596</v>
      </c>
      <c r="AA943" s="170">
        <f>'Assumptions TRC_AUN'!$E$33</f>
        <v>3334</v>
      </c>
      <c r="AB943" s="200">
        <f t="shared" ref="AB943:AB944" si="946">AC943/AA943</f>
        <v>0</v>
      </c>
      <c r="AC943" s="167">
        <f t="shared" si="936"/>
        <v>0</v>
      </c>
      <c r="AD943" s="170">
        <f>'Assumptions TRC_AUN'!$E$33</f>
        <v>3334</v>
      </c>
      <c r="AE943" s="200">
        <f t="shared" ref="AE943:AE944" si="947">AF943/AD943</f>
        <v>138.15116976604679</v>
      </c>
      <c r="AF943" s="167">
        <f t="shared" si="938"/>
        <v>460596</v>
      </c>
      <c r="AG943" s="67"/>
    </row>
    <row r="944" spans="1:33">
      <c r="A944" s="134"/>
      <c r="B944" s="153">
        <v>6</v>
      </c>
      <c r="C944" s="245"/>
      <c r="D944" s="245" t="s">
        <v>1493</v>
      </c>
      <c r="E944" s="164">
        <f>'Assumptions TRC_AUN'!$J$90</f>
        <v>10982.125</v>
      </c>
      <c r="F944" s="164">
        <v>1</v>
      </c>
      <c r="G944" s="164">
        <v>1</v>
      </c>
      <c r="H944" s="164">
        <v>1</v>
      </c>
      <c r="I944" s="164">
        <f t="shared" ref="I944:K944" si="948">$E944*F944</f>
        <v>10982.125</v>
      </c>
      <c r="J944" s="164">
        <f t="shared" si="948"/>
        <v>10982.125</v>
      </c>
      <c r="K944" s="164">
        <f t="shared" si="948"/>
        <v>10982.125</v>
      </c>
      <c r="L944" s="111"/>
      <c r="M944" s="132"/>
      <c r="N944" s="111"/>
      <c r="O944" s="111"/>
      <c r="P944" s="111"/>
      <c r="Q944" s="111"/>
      <c r="R944" s="111"/>
      <c r="S944" s="712"/>
      <c r="T944" s="169" t="s">
        <v>946</v>
      </c>
      <c r="U944" s="169" t="s">
        <v>946</v>
      </c>
      <c r="V944" s="121" t="s">
        <v>950</v>
      </c>
      <c r="W944" s="121" t="s">
        <v>951</v>
      </c>
      <c r="X944" s="170">
        <f>'Assumptions TRC_AUN'!$J$91</f>
        <v>549.10625000000005</v>
      </c>
      <c r="Y944" s="200">
        <f t="shared" si="933"/>
        <v>20</v>
      </c>
      <c r="Z944" s="167">
        <f t="shared" si="934"/>
        <v>10982.125</v>
      </c>
      <c r="AA944" s="170">
        <f>'Assumptions TRC_AUN'!$J$91</f>
        <v>549.10625000000005</v>
      </c>
      <c r="AB944" s="200">
        <f t="shared" si="946"/>
        <v>20</v>
      </c>
      <c r="AC944" s="167">
        <f t="shared" si="936"/>
        <v>10982.125</v>
      </c>
      <c r="AD944" s="170">
        <f>'Assumptions TRC_AUN'!$J$91</f>
        <v>549.10625000000005</v>
      </c>
      <c r="AE944" s="200">
        <f t="shared" si="947"/>
        <v>20</v>
      </c>
      <c r="AF944" s="167">
        <f t="shared" si="938"/>
        <v>10982.125</v>
      </c>
      <c r="AG944" s="67"/>
    </row>
    <row r="945" spans="1:33">
      <c r="A945" s="9"/>
      <c r="B945" s="111"/>
      <c r="C945" s="111"/>
      <c r="D945" s="111"/>
      <c r="E945" s="111"/>
      <c r="F945" s="111"/>
      <c r="G945" s="111"/>
      <c r="H945" s="151"/>
      <c r="I945" s="151"/>
      <c r="J945" s="151"/>
      <c r="K945" s="151"/>
      <c r="L945" s="111"/>
      <c r="M945" s="111"/>
      <c r="N945" s="111"/>
      <c r="O945" s="111"/>
      <c r="P945" s="111"/>
      <c r="Q945" s="111"/>
      <c r="R945" s="111"/>
      <c r="S945" s="712"/>
      <c r="T945" s="111"/>
      <c r="U945" s="111"/>
      <c r="V945" s="67"/>
      <c r="W945" s="111"/>
      <c r="X945" s="132"/>
      <c r="Y945" s="111"/>
      <c r="Z945" s="111"/>
      <c r="AA945" s="111"/>
      <c r="AB945" s="111"/>
      <c r="AC945" s="111"/>
      <c r="AD945" s="111"/>
      <c r="AE945" s="111"/>
      <c r="AF945" s="111"/>
      <c r="AG945" s="67"/>
    </row>
    <row r="946" spans="1:33">
      <c r="A946" s="725">
        <v>51</v>
      </c>
      <c r="B946" s="726"/>
      <c r="C946" s="731"/>
      <c r="D946" s="731"/>
      <c r="E946" s="731"/>
      <c r="F946" s="731"/>
      <c r="G946" s="731"/>
      <c r="H946" s="731"/>
      <c r="I946" s="151"/>
      <c r="J946" s="151"/>
      <c r="K946" s="151"/>
      <c r="L946" s="111"/>
      <c r="M946" s="111"/>
      <c r="N946" s="111"/>
      <c r="O946" s="111"/>
      <c r="P946" s="111"/>
      <c r="Q946" s="111"/>
      <c r="R946" s="111"/>
      <c r="S946" s="712"/>
      <c r="T946" s="111"/>
      <c r="U946" s="111"/>
      <c r="V946" s="67"/>
      <c r="W946" s="111"/>
      <c r="X946" s="132"/>
      <c r="Y946" s="111"/>
      <c r="Z946" s="111"/>
      <c r="AA946" s="111"/>
      <c r="AB946" s="111"/>
      <c r="AC946" s="111"/>
      <c r="AD946" s="111"/>
      <c r="AE946" s="111"/>
      <c r="AF946" s="111"/>
      <c r="AG946" s="67"/>
    </row>
    <row r="947" spans="1:33">
      <c r="A947" s="134"/>
      <c r="B947" s="113" t="s">
        <v>755</v>
      </c>
      <c r="C947" s="113" t="s">
        <v>1304</v>
      </c>
      <c r="D947" s="113" t="s">
        <v>1305</v>
      </c>
      <c r="E947" s="113" t="s">
        <v>1388</v>
      </c>
      <c r="F947" s="113" t="s">
        <v>1476</v>
      </c>
      <c r="G947" s="113" t="s">
        <v>1477</v>
      </c>
      <c r="H947" s="113" t="s">
        <v>1478</v>
      </c>
      <c r="I947" s="111"/>
      <c r="J947" s="111"/>
      <c r="K947" s="111"/>
      <c r="L947" s="111"/>
      <c r="M947" s="111"/>
      <c r="N947" s="111"/>
      <c r="O947" s="111"/>
      <c r="P947" s="111"/>
      <c r="Q947" s="111"/>
      <c r="R947" s="111"/>
      <c r="S947" s="712"/>
      <c r="T947" s="159" t="s">
        <v>387</v>
      </c>
      <c r="U947" s="159" t="s">
        <v>388</v>
      </c>
      <c r="V947" s="160" t="s">
        <v>934</v>
      </c>
      <c r="W947" s="160" t="s">
        <v>935</v>
      </c>
      <c r="X947" s="161" t="s">
        <v>936</v>
      </c>
      <c r="Y947" s="162" t="s">
        <v>937</v>
      </c>
      <c r="Z947" s="161" t="s">
        <v>938</v>
      </c>
      <c r="AA947" s="111"/>
      <c r="AB947" s="111"/>
      <c r="AC947" s="111"/>
      <c r="AD947" s="111"/>
      <c r="AE947" s="111"/>
      <c r="AF947" s="111"/>
      <c r="AG947" s="67"/>
    </row>
    <row r="948" spans="1:33">
      <c r="A948" s="134"/>
      <c r="B948" s="153">
        <v>1</v>
      </c>
      <c r="C948" s="245"/>
      <c r="D948" s="245" t="s">
        <v>1494</v>
      </c>
      <c r="E948" s="264" t="s">
        <v>1495</v>
      </c>
      <c r="F948" s="164">
        <v>1</v>
      </c>
      <c r="G948" s="164">
        <v>103322</v>
      </c>
      <c r="H948" s="164">
        <f t="shared" ref="H948:H951" si="949">$F948*G948</f>
        <v>103322</v>
      </c>
      <c r="I948" s="111"/>
      <c r="J948" s="111"/>
      <c r="K948" s="111"/>
      <c r="L948" s="111"/>
      <c r="M948" s="111"/>
      <c r="N948" s="111"/>
      <c r="O948" s="111"/>
      <c r="P948" s="111"/>
      <c r="Q948" s="111"/>
      <c r="R948" s="111"/>
      <c r="S948" s="712"/>
      <c r="T948" s="169" t="s">
        <v>946</v>
      </c>
      <c r="U948" s="169" t="s">
        <v>946</v>
      </c>
      <c r="V948" s="121" t="s">
        <v>848</v>
      </c>
      <c r="W948" s="164" t="s">
        <v>947</v>
      </c>
      <c r="X948" s="170">
        <f>'Assumptions TRC_AUN'!$E$33</f>
        <v>3334</v>
      </c>
      <c r="Y948" s="200">
        <f t="shared" ref="Y948:Y951" si="950">Z948/X948</f>
        <v>30.990401919616076</v>
      </c>
      <c r="Z948" s="167">
        <f t="shared" ref="Z948:Z951" si="951">H948</f>
        <v>103322</v>
      </c>
      <c r="AA948" s="111"/>
      <c r="AB948" s="111"/>
      <c r="AC948" s="111"/>
      <c r="AD948" s="111"/>
      <c r="AE948" s="111"/>
      <c r="AF948" s="111"/>
      <c r="AG948" s="67"/>
    </row>
    <row r="949" spans="1:33">
      <c r="A949" s="134"/>
      <c r="B949" s="153">
        <v>2</v>
      </c>
      <c r="C949" s="245"/>
      <c r="D949" s="245" t="s">
        <v>1496</v>
      </c>
      <c r="E949" s="264" t="s">
        <v>1182</v>
      </c>
      <c r="F949" s="164">
        <v>12</v>
      </c>
      <c r="G949" s="164">
        <v>46494.9</v>
      </c>
      <c r="H949" s="164">
        <f t="shared" si="949"/>
        <v>557938.80000000005</v>
      </c>
      <c r="I949" s="111"/>
      <c r="J949" s="111"/>
      <c r="K949" s="111"/>
      <c r="L949" s="111"/>
      <c r="M949" s="111"/>
      <c r="N949" s="111"/>
      <c r="O949" s="111"/>
      <c r="P949" s="111"/>
      <c r="Q949" s="111"/>
      <c r="R949" s="111"/>
      <c r="S949" s="712"/>
      <c r="T949" s="169" t="s">
        <v>946</v>
      </c>
      <c r="U949" s="169" t="s">
        <v>946</v>
      </c>
      <c r="V949" s="121" t="s">
        <v>848</v>
      </c>
      <c r="W949" s="164" t="s">
        <v>947</v>
      </c>
      <c r="X949" s="170">
        <f>'Assumptions TRC_AUN'!$E$33</f>
        <v>3334</v>
      </c>
      <c r="Y949" s="200">
        <f t="shared" si="950"/>
        <v>167.34817036592682</v>
      </c>
      <c r="Z949" s="167">
        <f t="shared" si="951"/>
        <v>557938.80000000005</v>
      </c>
      <c r="AA949" s="111"/>
      <c r="AB949" s="111"/>
      <c r="AC949" s="111"/>
      <c r="AD949" s="111"/>
      <c r="AE949" s="111"/>
      <c r="AF949" s="111"/>
      <c r="AG949" s="67"/>
    </row>
    <row r="950" spans="1:33">
      <c r="A950" s="134"/>
      <c r="B950" s="153">
        <v>3</v>
      </c>
      <c r="C950" s="245"/>
      <c r="D950" s="245" t="s">
        <v>1497</v>
      </c>
      <c r="E950" s="264" t="s">
        <v>1182</v>
      </c>
      <c r="F950" s="164">
        <v>12</v>
      </c>
      <c r="G950" s="164">
        <v>41328.800000000003</v>
      </c>
      <c r="H950" s="164">
        <f t="shared" si="949"/>
        <v>495945.60000000003</v>
      </c>
      <c r="I950" s="111"/>
      <c r="J950" s="111"/>
      <c r="K950" s="111"/>
      <c r="L950" s="111"/>
      <c r="M950" s="111"/>
      <c r="N950" s="111"/>
      <c r="O950" s="111"/>
      <c r="P950" s="111"/>
      <c r="Q950" s="111"/>
      <c r="R950" s="111"/>
      <c r="S950" s="712"/>
      <c r="T950" s="169" t="s">
        <v>946</v>
      </c>
      <c r="U950" s="169" t="s">
        <v>946</v>
      </c>
      <c r="V950" s="121" t="s">
        <v>848</v>
      </c>
      <c r="W950" s="164" t="s">
        <v>947</v>
      </c>
      <c r="X950" s="170">
        <f>'Assumptions TRC_AUN'!$E$33</f>
        <v>3334</v>
      </c>
      <c r="Y950" s="200">
        <f t="shared" si="950"/>
        <v>148.75392921415718</v>
      </c>
      <c r="Z950" s="167">
        <f t="shared" si="951"/>
        <v>495945.60000000003</v>
      </c>
      <c r="AA950" s="111"/>
      <c r="AB950" s="111"/>
      <c r="AC950" s="111"/>
      <c r="AD950" s="111"/>
      <c r="AE950" s="111"/>
      <c r="AF950" s="111"/>
      <c r="AG950" s="67"/>
    </row>
    <row r="951" spans="1:33">
      <c r="A951" s="134"/>
      <c r="B951" s="153">
        <v>4</v>
      </c>
      <c r="C951" s="245"/>
      <c r="D951" s="245" t="s">
        <v>1498</v>
      </c>
      <c r="E951" s="264" t="s">
        <v>1191</v>
      </c>
      <c r="F951" s="164">
        <v>9</v>
      </c>
      <c r="G951" s="164">
        <f>'Assumptions TRC_AUN'!$I$211</f>
        <v>51565</v>
      </c>
      <c r="H951" s="164">
        <f t="shared" si="949"/>
        <v>464085</v>
      </c>
      <c r="I951" s="111"/>
      <c r="J951" s="111"/>
      <c r="K951" s="111"/>
      <c r="L951" s="111"/>
      <c r="M951" s="111"/>
      <c r="N951" s="111"/>
      <c r="O951" s="111"/>
      <c r="P951" s="111"/>
      <c r="Q951" s="111"/>
      <c r="R951" s="111"/>
      <c r="S951" s="712"/>
      <c r="T951" s="169" t="s">
        <v>946</v>
      </c>
      <c r="U951" s="169" t="s">
        <v>946</v>
      </c>
      <c r="V951" s="121" t="s">
        <v>809</v>
      </c>
      <c r="W951" s="121" t="s">
        <v>791</v>
      </c>
      <c r="X951" s="170">
        <f>'Assumptions TRC_AUN'!$I$212</f>
        <v>10313</v>
      </c>
      <c r="Y951" s="200">
        <f t="shared" si="950"/>
        <v>45</v>
      </c>
      <c r="Z951" s="167">
        <f t="shared" si="951"/>
        <v>464085</v>
      </c>
      <c r="AA951" s="111"/>
      <c r="AB951" s="111"/>
      <c r="AC951" s="111"/>
      <c r="AD951" s="111"/>
      <c r="AE951" s="111"/>
      <c r="AF951" s="111"/>
      <c r="AG951" s="67"/>
    </row>
    <row r="952" spans="1:33">
      <c r="A952" s="9"/>
      <c r="B952" s="111"/>
      <c r="C952" s="111"/>
      <c r="D952" s="111"/>
      <c r="E952" s="111"/>
      <c r="F952" s="111"/>
      <c r="G952" s="111"/>
      <c r="H952" s="111"/>
      <c r="I952" s="111"/>
      <c r="J952" s="111"/>
      <c r="K952" s="111"/>
      <c r="L952" s="111"/>
      <c r="M952" s="111"/>
      <c r="N952" s="111"/>
      <c r="O952" s="111"/>
      <c r="P952" s="111"/>
      <c r="Q952" s="111"/>
      <c r="R952" s="111"/>
      <c r="S952" s="712"/>
      <c r="T952" s="111"/>
      <c r="U952" s="111"/>
      <c r="V952" s="67"/>
      <c r="W952" s="111"/>
      <c r="X952" s="132"/>
      <c r="Y952" s="133"/>
      <c r="Z952" s="132"/>
      <c r="AA952" s="132"/>
      <c r="AB952" s="133"/>
      <c r="AC952" s="132"/>
      <c r="AD952" s="132"/>
      <c r="AE952" s="133"/>
      <c r="AF952" s="132"/>
      <c r="AG952" s="67"/>
    </row>
    <row r="953" spans="1:33">
      <c r="A953" s="9"/>
      <c r="B953" s="111"/>
      <c r="C953" s="111"/>
      <c r="D953" s="111"/>
      <c r="E953" s="111"/>
      <c r="F953" s="111"/>
      <c r="G953" s="111"/>
      <c r="H953" s="111"/>
      <c r="I953" s="111"/>
      <c r="J953" s="111"/>
      <c r="K953" s="111"/>
      <c r="L953" s="111"/>
      <c r="M953" s="111"/>
      <c r="N953" s="111"/>
      <c r="O953" s="111"/>
      <c r="P953" s="111"/>
      <c r="Q953" s="111"/>
      <c r="R953" s="111"/>
      <c r="S953" s="712"/>
      <c r="T953" s="111"/>
      <c r="U953" s="111"/>
      <c r="V953" s="67"/>
      <c r="W953" s="111"/>
      <c r="X953" s="132"/>
      <c r="Y953" s="133"/>
      <c r="Z953" s="132"/>
      <c r="AA953" s="132"/>
      <c r="AB953" s="133"/>
      <c r="AC953" s="132"/>
      <c r="AD953" s="132"/>
      <c r="AE953" s="133"/>
      <c r="AF953" s="132"/>
      <c r="AG953" s="67"/>
    </row>
    <row r="954" spans="1:33">
      <c r="A954" s="725">
        <v>52</v>
      </c>
      <c r="B954" s="726"/>
      <c r="C954" s="731"/>
      <c r="D954" s="731"/>
      <c r="E954" s="731"/>
      <c r="F954" s="731"/>
      <c r="G954" s="731"/>
      <c r="H954" s="731"/>
      <c r="I954" s="111"/>
      <c r="J954" s="111"/>
      <c r="K954" s="111"/>
      <c r="L954" s="111"/>
      <c r="M954" s="111"/>
      <c r="N954" s="111"/>
      <c r="O954" s="111"/>
      <c r="P954" s="111"/>
      <c r="Q954" s="111"/>
      <c r="R954" s="111"/>
      <c r="S954" s="712"/>
      <c r="T954" s="111"/>
      <c r="U954" s="111"/>
      <c r="V954" s="67"/>
      <c r="W954" s="111"/>
      <c r="X954" s="132"/>
      <c r="Y954" s="111"/>
      <c r="Z954" s="111"/>
      <c r="AA954" s="111"/>
      <c r="AB954" s="111"/>
      <c r="AC954" s="111"/>
      <c r="AD954" s="111"/>
      <c r="AE954" s="111"/>
      <c r="AF954" s="111"/>
      <c r="AG954" s="67"/>
    </row>
    <row r="955" spans="1:33">
      <c r="A955" s="134"/>
      <c r="B955" s="113" t="s">
        <v>755</v>
      </c>
      <c r="C955" s="113" t="s">
        <v>1304</v>
      </c>
      <c r="D955" s="113" t="s">
        <v>1305</v>
      </c>
      <c r="E955" s="113" t="s">
        <v>697</v>
      </c>
      <c r="F955" s="113" t="s">
        <v>1476</v>
      </c>
      <c r="G955" s="113" t="s">
        <v>1477</v>
      </c>
      <c r="H955" s="113" t="s">
        <v>1478</v>
      </c>
      <c r="I955" s="111"/>
      <c r="J955" s="111"/>
      <c r="K955" s="111"/>
      <c r="L955" s="111"/>
      <c r="M955" s="111"/>
      <c r="N955" s="111"/>
      <c r="O955" s="111"/>
      <c r="P955" s="111"/>
      <c r="Q955" s="111"/>
      <c r="R955" s="111"/>
      <c r="S955" s="712"/>
      <c r="T955" s="159" t="s">
        <v>387</v>
      </c>
      <c r="U955" s="159" t="s">
        <v>388</v>
      </c>
      <c r="V955" s="160" t="s">
        <v>934</v>
      </c>
      <c r="W955" s="160" t="s">
        <v>935</v>
      </c>
      <c r="X955" s="161" t="s">
        <v>936</v>
      </c>
      <c r="Y955" s="162" t="s">
        <v>937</v>
      </c>
      <c r="Z955" s="161" t="s">
        <v>938</v>
      </c>
      <c r="AA955" s="111"/>
      <c r="AB955" s="111"/>
      <c r="AC955" s="111"/>
      <c r="AD955" s="111"/>
      <c r="AE955" s="111"/>
      <c r="AF955" s="111"/>
      <c r="AG955" s="67"/>
    </row>
    <row r="956" spans="1:33">
      <c r="A956" s="134"/>
      <c r="B956" s="153">
        <v>1</v>
      </c>
      <c r="C956" s="153"/>
      <c r="D956" s="245" t="s">
        <v>1499</v>
      </c>
      <c r="E956" s="153" t="s">
        <v>949</v>
      </c>
      <c r="F956" s="164">
        <v>1</v>
      </c>
      <c r="G956" s="164">
        <f>'Assumptions TRC_AUN'!$J$109</f>
        <v>40080</v>
      </c>
      <c r="H956" s="164">
        <f t="shared" ref="H956:H959" si="952">$F956*G956</f>
        <v>40080</v>
      </c>
      <c r="I956" s="111"/>
      <c r="J956" s="151"/>
      <c r="K956" s="111"/>
      <c r="L956" s="111"/>
      <c r="M956" s="111"/>
      <c r="N956" s="111"/>
      <c r="O956" s="111"/>
      <c r="P956" s="111"/>
      <c r="Q956" s="111"/>
      <c r="R956" s="111"/>
      <c r="S956" s="712"/>
      <c r="T956" s="169" t="e">
        <f>'[2]AUN Budget'!#REF!</f>
        <v>#REF!</v>
      </c>
      <c r="U956" s="169" t="e">
        <f>'[2]AUN Budget'!#REF!</f>
        <v>#REF!</v>
      </c>
      <c r="V956" s="121" t="s">
        <v>950</v>
      </c>
      <c r="W956" s="121" t="s">
        <v>951</v>
      </c>
      <c r="X956" s="170">
        <f>'Assumptions TRC_AUN'!$J$110</f>
        <v>1336</v>
      </c>
      <c r="Y956" s="200">
        <f t="shared" ref="Y956:Y961" si="953">Z956/X956</f>
        <v>30</v>
      </c>
      <c r="Z956" s="167">
        <f t="shared" ref="Z956:Z961" si="954">H956</f>
        <v>40080</v>
      </c>
      <c r="AA956" s="111"/>
      <c r="AB956" s="111"/>
      <c r="AC956" s="111"/>
      <c r="AD956" s="111"/>
      <c r="AE956" s="111"/>
      <c r="AF956" s="111"/>
      <c r="AG956" s="67"/>
    </row>
    <row r="957" spans="1:33">
      <c r="A957" s="134"/>
      <c r="B957" s="153">
        <v>2</v>
      </c>
      <c r="C957" s="153"/>
      <c r="D957" s="245" t="s">
        <v>1500</v>
      </c>
      <c r="E957" s="153" t="s">
        <v>1182</v>
      </c>
      <c r="F957" s="164">
        <v>36</v>
      </c>
      <c r="G957" s="194">
        <f>'Assumptions HR_AUN'!$E$5*0.8</f>
        <v>20155.2</v>
      </c>
      <c r="H957" s="164">
        <f t="shared" si="952"/>
        <v>725587.20000000007</v>
      </c>
      <c r="I957" s="111"/>
      <c r="J957" s="151"/>
      <c r="K957" s="111"/>
      <c r="L957" s="111"/>
      <c r="M957" s="111"/>
      <c r="N957" s="111"/>
      <c r="O957" s="111"/>
      <c r="P957" s="111"/>
      <c r="Q957" s="111"/>
      <c r="R957" s="111"/>
      <c r="S957" s="712"/>
      <c r="T957" s="169" t="e">
        <f>'[2]AUN Budget'!#REF!</f>
        <v>#REF!</v>
      </c>
      <c r="U957" s="169" t="e">
        <f>'[2]AUN Budget'!#REF!</f>
        <v>#REF!</v>
      </c>
      <c r="V957" s="121" t="s">
        <v>848</v>
      </c>
      <c r="W957" s="164" t="s">
        <v>947</v>
      </c>
      <c r="X957" s="170">
        <f>'Assumptions TRC_AUN'!$E$33</f>
        <v>3334</v>
      </c>
      <c r="Y957" s="200">
        <f t="shared" si="953"/>
        <v>217.63263347330536</v>
      </c>
      <c r="Z957" s="167">
        <f t="shared" si="954"/>
        <v>725587.20000000007</v>
      </c>
      <c r="AA957" s="111"/>
      <c r="AB957" s="111"/>
      <c r="AC957" s="111"/>
      <c r="AD957" s="111"/>
      <c r="AE957" s="111"/>
      <c r="AF957" s="111"/>
      <c r="AG957" s="67"/>
    </row>
    <row r="958" spans="1:33">
      <c r="A958" s="134"/>
      <c r="B958" s="153">
        <v>3</v>
      </c>
      <c r="C958" s="153"/>
      <c r="D958" s="245" t="s">
        <v>1501</v>
      </c>
      <c r="E958" s="153" t="s">
        <v>949</v>
      </c>
      <c r="F958" s="164">
        <v>1</v>
      </c>
      <c r="G958" s="164">
        <f>'Assumptions TRC_AUN'!$J$54</f>
        <v>81914.5</v>
      </c>
      <c r="H958" s="164">
        <f t="shared" si="952"/>
        <v>81914.5</v>
      </c>
      <c r="I958" s="111"/>
      <c r="J958" s="151"/>
      <c r="K958" s="111"/>
      <c r="L958" s="111"/>
      <c r="M958" s="111"/>
      <c r="N958" s="111"/>
      <c r="O958" s="111"/>
      <c r="P958" s="111"/>
      <c r="Q958" s="111"/>
      <c r="R958" s="111"/>
      <c r="S958" s="712"/>
      <c r="T958" s="169" t="e">
        <f>'[2]AUN Budget'!#REF!</f>
        <v>#REF!</v>
      </c>
      <c r="U958" s="169" t="e">
        <f>'[2]AUN Budget'!#REF!</f>
        <v>#REF!</v>
      </c>
      <c r="V958" s="121" t="s">
        <v>950</v>
      </c>
      <c r="W958" s="121" t="s">
        <v>951</v>
      </c>
      <c r="X958" s="170">
        <f>'Assumptions TRC_AUN'!$J$55</f>
        <v>1050.1858974358975</v>
      </c>
      <c r="Y958" s="200">
        <f t="shared" si="953"/>
        <v>78</v>
      </c>
      <c r="Z958" s="167">
        <f t="shared" si="954"/>
        <v>81914.5</v>
      </c>
      <c r="AA958" s="111"/>
      <c r="AB958" s="111"/>
      <c r="AC958" s="111"/>
      <c r="AD958" s="111"/>
      <c r="AE958" s="111"/>
      <c r="AF958" s="111"/>
      <c r="AG958" s="67"/>
    </row>
    <row r="959" spans="1:33">
      <c r="A959" s="134"/>
      <c r="B959" s="153">
        <v>4</v>
      </c>
      <c r="C959" s="153"/>
      <c r="D959" s="245" t="s">
        <v>1502</v>
      </c>
      <c r="E959" s="153" t="s">
        <v>1182</v>
      </c>
      <c r="F959" s="164">
        <v>12</v>
      </c>
      <c r="G959" s="194">
        <f>'Assumptions HR_AUN'!F7*40</f>
        <v>4884.8723809523808</v>
      </c>
      <c r="H959" s="164">
        <f t="shared" si="952"/>
        <v>58618.468571428573</v>
      </c>
      <c r="I959" s="111"/>
      <c r="J959" s="151"/>
      <c r="K959" s="111"/>
      <c r="L959" s="111"/>
      <c r="M959" s="111"/>
      <c r="N959" s="111"/>
      <c r="O959" s="111"/>
      <c r="P959" s="111"/>
      <c r="Q959" s="111"/>
      <c r="R959" s="111"/>
      <c r="S959" s="712"/>
      <c r="T959" s="169" t="e">
        <f>'[2]AUN Budget'!#REF!</f>
        <v>#REF!</v>
      </c>
      <c r="U959" s="169" t="e">
        <f>'[2]AUN Budget'!#REF!</f>
        <v>#REF!</v>
      </c>
      <c r="V959" s="121" t="s">
        <v>882</v>
      </c>
      <c r="W959" s="164" t="s">
        <v>789</v>
      </c>
      <c r="X959" s="170">
        <f>G959</f>
        <v>4884.8723809523808</v>
      </c>
      <c r="Y959" s="200">
        <f t="shared" si="953"/>
        <v>12</v>
      </c>
      <c r="Z959" s="167">
        <f t="shared" si="954"/>
        <v>58618.468571428573</v>
      </c>
      <c r="AA959" s="111"/>
      <c r="AB959" s="111"/>
      <c r="AC959" s="111"/>
      <c r="AD959" s="111"/>
      <c r="AE959" s="111"/>
      <c r="AF959" s="111"/>
      <c r="AG959" s="67"/>
    </row>
    <row r="960" spans="1:33">
      <c r="A960" s="134"/>
      <c r="B960" s="153">
        <v>5</v>
      </c>
      <c r="C960" s="121" t="s">
        <v>1001</v>
      </c>
      <c r="D960" s="245"/>
      <c r="E960" s="153"/>
      <c r="F960" s="221"/>
      <c r="G960" s="164"/>
      <c r="H960" s="164">
        <f>SUM(H956:H959)*15%</f>
        <v>135930.02528571428</v>
      </c>
      <c r="I960" s="111"/>
      <c r="J960" s="151"/>
      <c r="K960" s="111"/>
      <c r="L960" s="111"/>
      <c r="M960" s="111"/>
      <c r="N960" s="111"/>
      <c r="O960" s="111"/>
      <c r="P960" s="111"/>
      <c r="Q960" s="111"/>
      <c r="R960" s="111"/>
      <c r="S960" s="712"/>
      <c r="T960" s="169" t="e">
        <f>'[2]AUN Budget'!#REF!</f>
        <v>#REF!</v>
      </c>
      <c r="U960" s="169" t="e">
        <f>'[2]AUN Budget'!#REF!</f>
        <v>#REF!</v>
      </c>
      <c r="V960" s="121" t="s">
        <v>875</v>
      </c>
      <c r="W960" s="121" t="s">
        <v>961</v>
      </c>
      <c r="X960" s="170">
        <f>'Assumptions HR_AUN'!$D$4*3</f>
        <v>88211.039066799218</v>
      </c>
      <c r="Y960" s="200">
        <f t="shared" si="953"/>
        <v>1.540963883021252</v>
      </c>
      <c r="Z960" s="167">
        <f t="shared" si="954"/>
        <v>135930.02528571428</v>
      </c>
      <c r="AA960" s="111"/>
      <c r="AB960" s="111"/>
      <c r="AC960" s="111"/>
      <c r="AD960" s="111"/>
      <c r="AE960" s="111"/>
      <c r="AF960" s="111"/>
      <c r="AG960" s="67"/>
    </row>
    <row r="961" spans="1:33">
      <c r="A961" s="134"/>
      <c r="B961" s="153">
        <v>6</v>
      </c>
      <c r="C961" s="121" t="s">
        <v>962</v>
      </c>
      <c r="D961" s="153"/>
      <c r="E961" s="153"/>
      <c r="F961" s="221"/>
      <c r="G961" s="164"/>
      <c r="H961" s="164">
        <f>SUM(H956:H959)*10%</f>
        <v>90620.016857142866</v>
      </c>
      <c r="I961" s="111"/>
      <c r="J961" s="151"/>
      <c r="K961" s="111"/>
      <c r="L961" s="111"/>
      <c r="M961" s="111"/>
      <c r="N961" s="111"/>
      <c r="O961" s="111"/>
      <c r="P961" s="111"/>
      <c r="Q961" s="111"/>
      <c r="R961" s="111"/>
      <c r="S961" s="712"/>
      <c r="T961" s="169" t="e">
        <f>'[2]AUN Budget'!#REF!</f>
        <v>#REF!</v>
      </c>
      <c r="U961" s="169" t="e">
        <f>'[2]AUN Budget'!#REF!</f>
        <v>#REF!</v>
      </c>
      <c r="V961" s="121" t="s">
        <v>881</v>
      </c>
      <c r="W961" s="121" t="s">
        <v>964</v>
      </c>
      <c r="X961" s="170">
        <f>H961/4</f>
        <v>22655.004214285716</v>
      </c>
      <c r="Y961" s="200">
        <f t="shared" si="953"/>
        <v>4</v>
      </c>
      <c r="Z961" s="167">
        <f t="shared" si="954"/>
        <v>90620.016857142866</v>
      </c>
      <c r="AA961" s="111"/>
      <c r="AB961" s="111"/>
      <c r="AC961" s="111"/>
      <c r="AD961" s="111"/>
      <c r="AE961" s="111"/>
      <c r="AF961" s="111"/>
      <c r="AG961" s="67"/>
    </row>
    <row r="962" spans="1:33">
      <c r="A962" s="134"/>
      <c r="B962" s="186"/>
      <c r="C962" s="186" t="s">
        <v>770</v>
      </c>
      <c r="D962" s="186"/>
      <c r="E962" s="186"/>
      <c r="F962" s="276"/>
      <c r="G962" s="276"/>
      <c r="H962" s="276">
        <f>SUM(H956:H961)</f>
        <v>1132750.2107142857</v>
      </c>
      <c r="I962" s="111"/>
      <c r="J962" s="111"/>
      <c r="K962" s="111"/>
      <c r="L962" s="111"/>
      <c r="M962" s="111"/>
      <c r="N962" s="111"/>
      <c r="O962" s="111"/>
      <c r="P962" s="111"/>
      <c r="Q962" s="111"/>
      <c r="R962" s="111"/>
      <c r="S962" s="712"/>
      <c r="T962" s="111"/>
      <c r="U962" s="111"/>
      <c r="V962" s="67"/>
      <c r="W962" s="111"/>
      <c r="X962" s="132"/>
      <c r="Y962" s="111"/>
      <c r="Z962" s="111"/>
      <c r="AA962" s="111"/>
      <c r="AB962" s="111"/>
      <c r="AC962" s="111"/>
      <c r="AD962" s="111"/>
      <c r="AE962" s="111"/>
      <c r="AF962" s="111"/>
      <c r="AG962" s="67"/>
    </row>
    <row r="963" spans="1:33">
      <c r="A963" s="9"/>
      <c r="B963" s="111"/>
      <c r="C963" s="111"/>
      <c r="D963" s="111"/>
      <c r="E963" s="111"/>
      <c r="F963" s="111"/>
      <c r="G963" s="111"/>
      <c r="H963" s="151"/>
      <c r="I963" s="111"/>
      <c r="J963" s="111"/>
      <c r="K963" s="111"/>
      <c r="L963" s="111"/>
      <c r="M963" s="111"/>
      <c r="N963" s="111"/>
      <c r="O963" s="111"/>
      <c r="P963" s="111"/>
      <c r="Q963" s="111"/>
      <c r="R963" s="111"/>
      <c r="S963" s="712"/>
      <c r="T963" s="111"/>
      <c r="U963" s="111"/>
      <c r="V963" s="67"/>
      <c r="W963" s="111"/>
      <c r="X963" s="132"/>
      <c r="Y963" s="133"/>
      <c r="Z963" s="132"/>
      <c r="AA963" s="132"/>
      <c r="AB963" s="133"/>
      <c r="AC963" s="132"/>
      <c r="AD963" s="132"/>
      <c r="AE963" s="133"/>
      <c r="AF963" s="132"/>
      <c r="AG963" s="67"/>
    </row>
    <row r="964" spans="1:33">
      <c r="A964" s="9"/>
      <c r="B964" s="111"/>
      <c r="C964" s="111"/>
      <c r="D964" s="111"/>
      <c r="E964" s="111"/>
      <c r="F964" s="111"/>
      <c r="G964" s="111"/>
      <c r="H964" s="111"/>
      <c r="I964" s="111"/>
      <c r="J964" s="111"/>
      <c r="K964" s="111"/>
      <c r="L964" s="111"/>
      <c r="M964" s="111"/>
      <c r="N964" s="111"/>
      <c r="O964" s="111"/>
      <c r="P964" s="111"/>
      <c r="Q964" s="111"/>
      <c r="R964" s="111"/>
      <c r="S964" s="712"/>
      <c r="T964" s="111"/>
      <c r="U964" s="111"/>
      <c r="V964" s="67"/>
      <c r="W964" s="111"/>
      <c r="X964" s="132"/>
      <c r="Y964" s="133"/>
      <c r="Z964" s="132"/>
      <c r="AA964" s="132"/>
      <c r="AB964" s="133"/>
      <c r="AC964" s="132"/>
      <c r="AD964" s="132"/>
      <c r="AE964" s="133"/>
      <c r="AF964" s="132"/>
      <c r="AG964" s="67"/>
    </row>
    <row r="965" spans="1:33">
      <c r="A965" s="725">
        <v>53</v>
      </c>
      <c r="B965" s="726" t="e" vm="1">
        <f>'[2]AUN Budget'!$E$203</f>
        <v>#VALUE!</v>
      </c>
      <c r="C965" s="731"/>
      <c r="D965" s="731"/>
      <c r="E965" s="731"/>
      <c r="F965" s="731"/>
      <c r="G965" s="731"/>
      <c r="H965" s="731"/>
      <c r="I965" s="111"/>
      <c r="J965" s="111"/>
      <c r="K965" s="111"/>
      <c r="L965" s="111"/>
      <c r="M965" s="111"/>
      <c r="N965" s="111"/>
      <c r="O965" s="111"/>
      <c r="P965" s="111"/>
      <c r="Q965" s="111"/>
      <c r="R965" s="111"/>
      <c r="S965" s="712"/>
      <c r="T965" s="111"/>
      <c r="U965" s="111"/>
      <c r="V965" s="67"/>
      <c r="W965" s="111"/>
      <c r="X965" s="132"/>
      <c r="Y965" s="111"/>
      <c r="Z965" s="111"/>
      <c r="AA965" s="111"/>
      <c r="AB965" s="111"/>
      <c r="AC965" s="111"/>
      <c r="AD965" s="111"/>
      <c r="AE965" s="111"/>
      <c r="AF965" s="111"/>
      <c r="AG965" s="67"/>
    </row>
    <row r="966" spans="1:33">
      <c r="A966" s="134" t="s">
        <v>167</v>
      </c>
      <c r="B966" s="113" t="s">
        <v>755</v>
      </c>
      <c r="C966" s="113" t="s">
        <v>1304</v>
      </c>
      <c r="D966" s="113" t="s">
        <v>1305</v>
      </c>
      <c r="E966" s="113" t="s">
        <v>697</v>
      </c>
      <c r="F966" s="113" t="s">
        <v>1476</v>
      </c>
      <c r="G966" s="113" t="s">
        <v>1477</v>
      </c>
      <c r="H966" s="113" t="s">
        <v>1478</v>
      </c>
      <c r="I966" s="111"/>
      <c r="J966" s="111"/>
      <c r="K966" s="111"/>
      <c r="L966" s="111"/>
      <c r="M966" s="111"/>
      <c r="N966" s="111"/>
      <c r="O966" s="111"/>
      <c r="P966" s="111"/>
      <c r="Q966" s="111"/>
      <c r="R966" s="111"/>
      <c r="S966" s="712"/>
      <c r="T966" s="159" t="s">
        <v>387</v>
      </c>
      <c r="U966" s="159" t="s">
        <v>388</v>
      </c>
      <c r="V966" s="160" t="s">
        <v>934</v>
      </c>
      <c r="W966" s="160" t="s">
        <v>935</v>
      </c>
      <c r="X966" s="161" t="s">
        <v>936</v>
      </c>
      <c r="Y966" s="162" t="s">
        <v>937</v>
      </c>
      <c r="Z966" s="161" t="s">
        <v>938</v>
      </c>
      <c r="AA966" s="111"/>
      <c r="AB966" s="111"/>
      <c r="AC966" s="111"/>
      <c r="AD966" s="111"/>
      <c r="AE966" s="111"/>
      <c r="AF966" s="111"/>
      <c r="AG966" s="67"/>
    </row>
    <row r="967" spans="1:33">
      <c r="A967" s="134"/>
      <c r="B967" s="153">
        <v>1</v>
      </c>
      <c r="C967" s="153"/>
      <c r="D967" s="245" t="s">
        <v>1503</v>
      </c>
      <c r="E967" s="153" t="s">
        <v>949</v>
      </c>
      <c r="F967" s="164">
        <v>2</v>
      </c>
      <c r="G967" s="164">
        <f>'Assumptions TRC_AUN'!$J$109</f>
        <v>40080</v>
      </c>
      <c r="H967" s="164">
        <f t="shared" ref="H967:H972" si="955">$F967*G967</f>
        <v>80160</v>
      </c>
      <c r="I967" s="111"/>
      <c r="J967" s="151"/>
      <c r="K967" s="111"/>
      <c r="L967" s="111"/>
      <c r="M967" s="111"/>
      <c r="N967" s="111"/>
      <c r="O967" s="111"/>
      <c r="P967" s="111"/>
      <c r="Q967" s="111"/>
      <c r="R967" s="111"/>
      <c r="S967" s="712"/>
      <c r="T967" s="169" t="s">
        <v>946</v>
      </c>
      <c r="U967" s="169" t="s">
        <v>946</v>
      </c>
      <c r="V967" s="121" t="s">
        <v>950</v>
      </c>
      <c r="W967" s="121" t="s">
        <v>951</v>
      </c>
      <c r="X967" s="170">
        <f>'Assumptions TRC_AUN'!$J$110</f>
        <v>1336</v>
      </c>
      <c r="Y967" s="200">
        <f t="shared" ref="Y967:Y974" si="956">Z967/X967</f>
        <v>60</v>
      </c>
      <c r="Z967" s="167">
        <f t="shared" ref="Z967:Z974" si="957">H967</f>
        <v>80160</v>
      </c>
      <c r="AA967" s="111"/>
      <c r="AB967" s="111"/>
      <c r="AC967" s="111"/>
      <c r="AD967" s="111"/>
      <c r="AE967" s="111"/>
      <c r="AF967" s="111"/>
      <c r="AG967" s="67"/>
    </row>
    <row r="968" spans="1:33">
      <c r="A968" s="134"/>
      <c r="B968" s="153">
        <v>2</v>
      </c>
      <c r="C968" s="153"/>
      <c r="D968" s="245" t="s">
        <v>1504</v>
      </c>
      <c r="E968" s="153" t="s">
        <v>949</v>
      </c>
      <c r="F968" s="164">
        <v>2</v>
      </c>
      <c r="G968" s="164">
        <f>'Assumptions TRC_AUN'!$J$90</f>
        <v>10982.125</v>
      </c>
      <c r="H968" s="164">
        <f t="shared" si="955"/>
        <v>21964.25</v>
      </c>
      <c r="I968" s="111"/>
      <c r="J968" s="151"/>
      <c r="K968" s="111"/>
      <c r="L968" s="111"/>
      <c r="M968" s="111"/>
      <c r="N968" s="111"/>
      <c r="O968" s="111"/>
      <c r="P968" s="111"/>
      <c r="Q968" s="111"/>
      <c r="R968" s="111"/>
      <c r="S968" s="712"/>
      <c r="T968" s="169" t="s">
        <v>946</v>
      </c>
      <c r="U968" s="169" t="s">
        <v>946</v>
      </c>
      <c r="V968" s="121" t="s">
        <v>950</v>
      </c>
      <c r="W968" s="121" t="s">
        <v>951</v>
      </c>
      <c r="X968" s="170">
        <f>'Assumptions TRC_AUN'!$J$91</f>
        <v>549.10625000000005</v>
      </c>
      <c r="Y968" s="200">
        <f t="shared" si="956"/>
        <v>40</v>
      </c>
      <c r="Z968" s="167">
        <f t="shared" si="957"/>
        <v>21964.25</v>
      </c>
      <c r="AA968" s="111"/>
      <c r="AB968" s="111"/>
      <c r="AC968" s="111"/>
      <c r="AD968" s="111"/>
      <c r="AE968" s="111"/>
      <c r="AF968" s="111"/>
      <c r="AG968" s="67"/>
    </row>
    <row r="969" spans="1:33">
      <c r="A969" s="134"/>
      <c r="B969" s="153">
        <v>3</v>
      </c>
      <c r="C969" s="153"/>
      <c r="D969" s="245" t="s">
        <v>1505</v>
      </c>
      <c r="E969" s="153" t="s">
        <v>949</v>
      </c>
      <c r="F969" s="164">
        <v>1</v>
      </c>
      <c r="G969" s="164">
        <f>'Assumptions TRC_AUN'!$I$54</f>
        <v>163829</v>
      </c>
      <c r="H969" s="164">
        <f t="shared" si="955"/>
        <v>163829</v>
      </c>
      <c r="I969" s="111"/>
      <c r="J969" s="151"/>
      <c r="K969" s="111"/>
      <c r="L969" s="111"/>
      <c r="M969" s="111"/>
      <c r="N969" s="111"/>
      <c r="O969" s="111"/>
      <c r="P969" s="111"/>
      <c r="Q969" s="111"/>
      <c r="R969" s="111"/>
      <c r="S969" s="712"/>
      <c r="T969" s="169" t="s">
        <v>946</v>
      </c>
      <c r="U969" s="169" t="s">
        <v>946</v>
      </c>
      <c r="V969" s="121" t="s">
        <v>950</v>
      </c>
      <c r="W969" s="121" t="s">
        <v>951</v>
      </c>
      <c r="X969" s="170">
        <f>'Assumptions TRC_AUN'!$J$55</f>
        <v>1050.1858974358975</v>
      </c>
      <c r="Y969" s="200">
        <f t="shared" si="956"/>
        <v>156</v>
      </c>
      <c r="Z969" s="167">
        <f t="shared" si="957"/>
        <v>163829</v>
      </c>
      <c r="AA969" s="111"/>
      <c r="AB969" s="111"/>
      <c r="AC969" s="111"/>
      <c r="AD969" s="111"/>
      <c r="AE969" s="111"/>
      <c r="AF969" s="111"/>
      <c r="AG969" s="67"/>
    </row>
    <row r="970" spans="1:33">
      <c r="A970" s="134"/>
      <c r="B970" s="153">
        <v>4</v>
      </c>
      <c r="C970" s="153"/>
      <c r="D970" s="245" t="s">
        <v>1506</v>
      </c>
      <c r="E970" s="153" t="s">
        <v>1187</v>
      </c>
      <c r="F970" s="164">
        <v>1</v>
      </c>
      <c r="G970" s="164">
        <v>40000</v>
      </c>
      <c r="H970" s="164">
        <f t="shared" si="955"/>
        <v>40000</v>
      </c>
      <c r="I970" s="111"/>
      <c r="J970" s="151"/>
      <c r="K970" s="111"/>
      <c r="L970" s="111"/>
      <c r="M970" s="111"/>
      <c r="N970" s="111"/>
      <c r="O970" s="111"/>
      <c r="P970" s="111"/>
      <c r="Q970" s="111"/>
      <c r="R970" s="111"/>
      <c r="S970" s="712"/>
      <c r="T970" s="169" t="s">
        <v>946</v>
      </c>
      <c r="U970" s="169" t="s">
        <v>946</v>
      </c>
      <c r="V970" s="121" t="s">
        <v>1000</v>
      </c>
      <c r="W970" s="121" t="s">
        <v>789</v>
      </c>
      <c r="X970" s="170">
        <f>G970</f>
        <v>40000</v>
      </c>
      <c r="Y970" s="200">
        <f t="shared" si="956"/>
        <v>1</v>
      </c>
      <c r="Z970" s="167">
        <f t="shared" si="957"/>
        <v>40000</v>
      </c>
      <c r="AA970" s="111"/>
      <c r="AB970" s="111"/>
      <c r="AC970" s="111"/>
      <c r="AD970" s="111"/>
      <c r="AE970" s="111"/>
      <c r="AF970" s="111"/>
      <c r="AG970" s="67"/>
    </row>
    <row r="971" spans="1:33">
      <c r="A971" s="134"/>
      <c r="B971" s="153">
        <v>5</v>
      </c>
      <c r="C971" s="153"/>
      <c r="D971" s="245" t="s">
        <v>1507</v>
      </c>
      <c r="E971" s="153" t="s">
        <v>1182</v>
      </c>
      <c r="F971" s="164">
        <v>36</v>
      </c>
      <c r="G971" s="194">
        <f>'Assumptions HR_AUN'!$E$5*0.8</f>
        <v>20155.2</v>
      </c>
      <c r="H971" s="164">
        <f t="shared" si="955"/>
        <v>725587.20000000007</v>
      </c>
      <c r="I971" s="111"/>
      <c r="J971" s="151"/>
      <c r="K971" s="111"/>
      <c r="L971" s="111"/>
      <c r="M971" s="111"/>
      <c r="N971" s="111"/>
      <c r="O971" s="111"/>
      <c r="P971" s="111"/>
      <c r="Q971" s="111"/>
      <c r="R971" s="111"/>
      <c r="S971" s="712"/>
      <c r="T971" s="169" t="s">
        <v>946</v>
      </c>
      <c r="U971" s="169" t="s">
        <v>946</v>
      </c>
      <c r="V971" s="121" t="s">
        <v>848</v>
      </c>
      <c r="W971" s="164" t="s">
        <v>947</v>
      </c>
      <c r="X971" s="170">
        <f>'Assumptions TRC_AUN'!$E$33</f>
        <v>3334</v>
      </c>
      <c r="Y971" s="200">
        <f t="shared" si="956"/>
        <v>217.63263347330536</v>
      </c>
      <c r="Z971" s="167">
        <f t="shared" si="957"/>
        <v>725587.20000000007</v>
      </c>
      <c r="AA971" s="111"/>
      <c r="AB971" s="111"/>
      <c r="AC971" s="111"/>
      <c r="AD971" s="111"/>
      <c r="AE971" s="111"/>
      <c r="AF971" s="111"/>
      <c r="AG971" s="67"/>
    </row>
    <row r="972" spans="1:33">
      <c r="A972" s="134"/>
      <c r="B972" s="153">
        <v>6</v>
      </c>
      <c r="C972" s="153"/>
      <c r="D972" s="245" t="s">
        <v>1508</v>
      </c>
      <c r="E972" s="153" t="s">
        <v>1191</v>
      </c>
      <c r="F972" s="164">
        <v>2</v>
      </c>
      <c r="G972" s="164">
        <f>'Assumptions TRC_AUN'!$I$211</f>
        <v>51565</v>
      </c>
      <c r="H972" s="164">
        <f t="shared" si="955"/>
        <v>103130</v>
      </c>
      <c r="I972" s="111"/>
      <c r="J972" s="151"/>
      <c r="K972" s="111"/>
      <c r="L972" s="111"/>
      <c r="M972" s="111"/>
      <c r="N972" s="111"/>
      <c r="O972" s="111"/>
      <c r="P972" s="111"/>
      <c r="Q972" s="111"/>
      <c r="R972" s="111"/>
      <c r="S972" s="712"/>
      <c r="T972" s="169" t="s">
        <v>946</v>
      </c>
      <c r="U972" s="169" t="s">
        <v>946</v>
      </c>
      <c r="V972" s="121" t="s">
        <v>809</v>
      </c>
      <c r="W972" s="121" t="s">
        <v>791</v>
      </c>
      <c r="X972" s="170">
        <f>'Assumptions TRC_AUN'!$I$212</f>
        <v>10313</v>
      </c>
      <c r="Y972" s="200">
        <f t="shared" si="956"/>
        <v>10</v>
      </c>
      <c r="Z972" s="167">
        <f t="shared" si="957"/>
        <v>103130</v>
      </c>
      <c r="AA972" s="111"/>
      <c r="AB972" s="111"/>
      <c r="AC972" s="111"/>
      <c r="AD972" s="111"/>
      <c r="AE972" s="111"/>
      <c r="AF972" s="111"/>
      <c r="AG972" s="67"/>
    </row>
    <row r="973" spans="1:33">
      <c r="A973" s="134"/>
      <c r="B973" s="153">
        <v>7</v>
      </c>
      <c r="C973" s="121" t="s">
        <v>1001</v>
      </c>
      <c r="D973" s="153"/>
      <c r="E973" s="153"/>
      <c r="F973" s="221"/>
      <c r="G973" s="164"/>
      <c r="H973" s="164">
        <f>SUM(H967:H972)*10%</f>
        <v>113467.04500000003</v>
      </c>
      <c r="I973" s="111"/>
      <c r="J973" s="151"/>
      <c r="K973" s="111"/>
      <c r="L973" s="111"/>
      <c r="M973" s="111"/>
      <c r="N973" s="111"/>
      <c r="O973" s="111"/>
      <c r="P973" s="111"/>
      <c r="Q973" s="111"/>
      <c r="R973" s="111"/>
      <c r="S973" s="712"/>
      <c r="T973" s="169" t="s">
        <v>946</v>
      </c>
      <c r="U973" s="169" t="s">
        <v>946</v>
      </c>
      <c r="V973" s="121" t="s">
        <v>875</v>
      </c>
      <c r="W973" s="121" t="s">
        <v>961</v>
      </c>
      <c r="X973" s="170">
        <f>'Assumptions HR_AUN'!$D$4*3</f>
        <v>88211.039066799218</v>
      </c>
      <c r="Y973" s="200">
        <f t="shared" si="956"/>
        <v>1.2863134387757897</v>
      </c>
      <c r="Z973" s="167">
        <f t="shared" si="957"/>
        <v>113467.04500000003</v>
      </c>
      <c r="AA973" s="111"/>
      <c r="AB973" s="111"/>
      <c r="AC973" s="111"/>
      <c r="AD973" s="111"/>
      <c r="AE973" s="111"/>
      <c r="AF973" s="111"/>
      <c r="AG973" s="67"/>
    </row>
    <row r="974" spans="1:33">
      <c r="A974" s="134"/>
      <c r="B974" s="153">
        <v>8</v>
      </c>
      <c r="C974" s="121" t="s">
        <v>962</v>
      </c>
      <c r="D974" s="153"/>
      <c r="E974" s="153"/>
      <c r="F974" s="221"/>
      <c r="G974" s="164"/>
      <c r="H974" s="164">
        <f>SUM(H967:H972)*15%</f>
        <v>170200.56750000003</v>
      </c>
      <c r="I974" s="111"/>
      <c r="J974" s="151"/>
      <c r="K974" s="111"/>
      <c r="L974" s="111"/>
      <c r="M974" s="111"/>
      <c r="N974" s="111"/>
      <c r="O974" s="111"/>
      <c r="P974" s="111"/>
      <c r="Q974" s="111"/>
      <c r="R974" s="111"/>
      <c r="S974" s="712"/>
      <c r="T974" s="169" t="s">
        <v>946</v>
      </c>
      <c r="U974" s="169" t="s">
        <v>946</v>
      </c>
      <c r="V974" s="121" t="s">
        <v>881</v>
      </c>
      <c r="W974" s="121" t="s">
        <v>964</v>
      </c>
      <c r="X974" s="170">
        <f>H974/4</f>
        <v>42550.141875000008</v>
      </c>
      <c r="Y974" s="200">
        <f t="shared" si="956"/>
        <v>4</v>
      </c>
      <c r="Z974" s="167">
        <f t="shared" si="957"/>
        <v>170200.56750000003</v>
      </c>
      <c r="AA974" s="111"/>
      <c r="AB974" s="111"/>
      <c r="AC974" s="111"/>
      <c r="AD974" s="111"/>
      <c r="AE974" s="111"/>
      <c r="AF974" s="111"/>
      <c r="AG974" s="67"/>
    </row>
    <row r="975" spans="1:33">
      <c r="A975" s="134"/>
      <c r="B975" s="186"/>
      <c r="C975" s="186" t="s">
        <v>770</v>
      </c>
      <c r="D975" s="186"/>
      <c r="E975" s="186"/>
      <c r="F975" s="276"/>
      <c r="G975" s="276"/>
      <c r="H975" s="276">
        <f>SUM(H967:H974)</f>
        <v>1418338.0625000002</v>
      </c>
      <c r="I975" s="111"/>
      <c r="J975" s="111"/>
      <c r="K975" s="111"/>
      <c r="L975" s="111"/>
      <c r="M975" s="111"/>
      <c r="N975" s="111"/>
      <c r="O975" s="111"/>
      <c r="P975" s="111"/>
      <c r="Q975" s="111"/>
      <c r="R975" s="111"/>
      <c r="S975" s="712"/>
      <c r="T975" s="111"/>
      <c r="U975" s="111"/>
      <c r="V975" s="67"/>
      <c r="W975" s="111"/>
      <c r="X975" s="132"/>
      <c r="Y975" s="111"/>
      <c r="Z975" s="111"/>
      <c r="AA975" s="111"/>
      <c r="AB975" s="111"/>
      <c r="AC975" s="111"/>
      <c r="AD975" s="111"/>
      <c r="AE975" s="111"/>
      <c r="AF975" s="111"/>
      <c r="AG975" s="67"/>
    </row>
    <row r="976" spans="1:33">
      <c r="A976" s="9"/>
      <c r="B976" s="111"/>
      <c r="C976" s="111"/>
      <c r="D976" s="111"/>
      <c r="E976" s="111"/>
      <c r="F976" s="111"/>
      <c r="G976" s="111"/>
      <c r="H976" s="111"/>
      <c r="I976" s="111"/>
      <c r="J976" s="111"/>
      <c r="K976" s="111"/>
      <c r="L976" s="111"/>
      <c r="M976" s="111"/>
      <c r="N976" s="111"/>
      <c r="O976" s="111"/>
      <c r="P976" s="111"/>
      <c r="Q976" s="111"/>
      <c r="R976" s="111"/>
      <c r="S976" s="712"/>
      <c r="T976" s="111"/>
      <c r="U976" s="111"/>
      <c r="V976" s="67"/>
      <c r="W976" s="111"/>
      <c r="X976" s="132"/>
      <c r="Y976" s="133"/>
      <c r="Z976" s="132"/>
      <c r="AA976" s="132"/>
      <c r="AB976" s="133"/>
      <c r="AC976" s="132"/>
      <c r="AD976" s="132"/>
      <c r="AE976" s="133"/>
      <c r="AF976" s="132"/>
      <c r="AG976" s="67"/>
    </row>
    <row r="977" spans="1:33">
      <c r="A977" s="725">
        <v>54</v>
      </c>
      <c r="B977" s="726" t="e" vm="1">
        <f>'[2]AUN Budget'!$E$209</f>
        <v>#VALUE!</v>
      </c>
      <c r="C977" s="731"/>
      <c r="D977" s="731"/>
      <c r="E977" s="731"/>
      <c r="F977" s="731"/>
      <c r="G977" s="731"/>
      <c r="H977" s="731"/>
      <c r="I977" s="111"/>
      <c r="J977" s="111"/>
      <c r="K977" s="111"/>
      <c r="L977" s="111"/>
      <c r="M977" s="111"/>
      <c r="N977" s="111"/>
      <c r="O977" s="111"/>
      <c r="P977" s="111"/>
      <c r="Q977" s="111"/>
      <c r="R977" s="111"/>
      <c r="S977" s="712"/>
      <c r="T977" s="111"/>
      <c r="U977" s="111"/>
      <c r="V977" s="67"/>
      <c r="W977" s="111"/>
      <c r="X977" s="132"/>
      <c r="Y977" s="111"/>
      <c r="Z977" s="111"/>
      <c r="AA977" s="111"/>
      <c r="AB977" s="111"/>
      <c r="AC977" s="111"/>
      <c r="AD977" s="111"/>
      <c r="AE977" s="111"/>
      <c r="AF977" s="111"/>
      <c r="AG977" s="67"/>
    </row>
    <row r="978" spans="1:33">
      <c r="A978" s="134" t="s">
        <v>1509</v>
      </c>
      <c r="B978" s="113" t="s">
        <v>755</v>
      </c>
      <c r="C978" s="113" t="s">
        <v>1304</v>
      </c>
      <c r="D978" s="113" t="s">
        <v>1305</v>
      </c>
      <c r="E978" s="113" t="s">
        <v>697</v>
      </c>
      <c r="F978" s="113" t="s">
        <v>1476</v>
      </c>
      <c r="G978" s="113" t="s">
        <v>1477</v>
      </c>
      <c r="H978" s="113" t="s">
        <v>1478</v>
      </c>
      <c r="I978" s="151"/>
      <c r="J978" s="111"/>
      <c r="K978" s="111"/>
      <c r="L978" s="111"/>
      <c r="M978" s="111"/>
      <c r="N978" s="111"/>
      <c r="O978" s="111"/>
      <c r="P978" s="111"/>
      <c r="Q978" s="111"/>
      <c r="R978" s="111"/>
      <c r="S978" s="712"/>
      <c r="T978" s="159" t="s">
        <v>387</v>
      </c>
      <c r="U978" s="159" t="s">
        <v>388</v>
      </c>
      <c r="V978" s="160" t="s">
        <v>934</v>
      </c>
      <c r="W978" s="160" t="s">
        <v>935</v>
      </c>
      <c r="X978" s="161" t="s">
        <v>936</v>
      </c>
      <c r="Y978" s="162" t="s">
        <v>937</v>
      </c>
      <c r="Z978" s="161" t="s">
        <v>938</v>
      </c>
      <c r="AA978" s="111"/>
      <c r="AB978" s="111"/>
      <c r="AC978" s="111"/>
      <c r="AD978" s="111"/>
      <c r="AE978" s="111"/>
      <c r="AF978" s="111"/>
      <c r="AG978" s="67"/>
    </row>
    <row r="979" spans="1:33">
      <c r="A979" s="134"/>
      <c r="B979" s="153">
        <v>1</v>
      </c>
      <c r="C979" s="153"/>
      <c r="D979" s="285" t="s">
        <v>1510</v>
      </c>
      <c r="E979" s="153" t="s">
        <v>1182</v>
      </c>
      <c r="F979" s="164">
        <v>12</v>
      </c>
      <c r="G979" s="194">
        <f>'Assumptions HR_AUN'!$E$3</f>
        <v>38383</v>
      </c>
      <c r="H979" s="164">
        <f t="shared" ref="H979:H983" si="958">$F979*G979</f>
        <v>460596</v>
      </c>
      <c r="I979" s="151"/>
      <c r="J979" s="151"/>
      <c r="K979" s="111"/>
      <c r="L979" s="111"/>
      <c r="M979" s="111"/>
      <c r="N979" s="111"/>
      <c r="O979" s="111"/>
      <c r="P979" s="111"/>
      <c r="Q979" s="111"/>
      <c r="R979" s="111"/>
      <c r="S979" s="712"/>
      <c r="T979" s="169" t="s">
        <v>946</v>
      </c>
      <c r="U979" s="169" t="s">
        <v>946</v>
      </c>
      <c r="V979" s="121" t="s">
        <v>848</v>
      </c>
      <c r="W979" s="164" t="s">
        <v>947</v>
      </c>
      <c r="X979" s="170">
        <f>'Assumptions TRC_AUN'!$E$33</f>
        <v>3334</v>
      </c>
      <c r="Y979" s="200">
        <f t="shared" ref="Y979:Y991" si="959">Z979/X979</f>
        <v>138.15116976604679</v>
      </c>
      <c r="Z979" s="167">
        <f t="shared" ref="Z979:Z991" si="960">H979</f>
        <v>460596</v>
      </c>
      <c r="AA979" s="111"/>
      <c r="AB979" s="111"/>
      <c r="AC979" s="111"/>
      <c r="AD979" s="111"/>
      <c r="AE979" s="111"/>
      <c r="AF979" s="111"/>
      <c r="AG979" s="67"/>
    </row>
    <row r="980" spans="1:33">
      <c r="A980" s="134"/>
      <c r="B980" s="153">
        <v>2</v>
      </c>
      <c r="C980" s="153"/>
      <c r="D980" s="285" t="s">
        <v>1511</v>
      </c>
      <c r="E980" s="153" t="s">
        <v>1182</v>
      </c>
      <c r="F980" s="164">
        <v>12</v>
      </c>
      <c r="G980" s="194">
        <f>'Assumptions HR_AUN'!$E$5</f>
        <v>25194</v>
      </c>
      <c r="H980" s="164">
        <f t="shared" si="958"/>
        <v>302328</v>
      </c>
      <c r="I980" s="151"/>
      <c r="J980" s="151"/>
      <c r="K980" s="111"/>
      <c r="L980" s="111"/>
      <c r="M980" s="111"/>
      <c r="N980" s="111"/>
      <c r="O980" s="111"/>
      <c r="P980" s="111"/>
      <c r="Q980" s="111"/>
      <c r="R980" s="111"/>
      <c r="S980" s="712"/>
      <c r="T980" s="169" t="s">
        <v>946</v>
      </c>
      <c r="U980" s="169" t="s">
        <v>946</v>
      </c>
      <c r="V980" s="121" t="s">
        <v>848</v>
      </c>
      <c r="W980" s="164" t="s">
        <v>947</v>
      </c>
      <c r="X980" s="170">
        <f>'Assumptions TRC_AUN'!$E$33</f>
        <v>3334</v>
      </c>
      <c r="Y980" s="200">
        <f t="shared" si="959"/>
        <v>90.680263947210562</v>
      </c>
      <c r="Z980" s="167">
        <f t="shared" si="960"/>
        <v>302328</v>
      </c>
      <c r="AA980" s="111"/>
      <c r="AB980" s="111"/>
      <c r="AC980" s="111"/>
      <c r="AD980" s="111"/>
      <c r="AE980" s="111"/>
      <c r="AF980" s="111"/>
      <c r="AG980" s="67"/>
    </row>
    <row r="981" spans="1:33">
      <c r="A981" s="134"/>
      <c r="B981" s="153">
        <v>3</v>
      </c>
      <c r="C981" s="153"/>
      <c r="D981" s="285" t="s">
        <v>1512</v>
      </c>
      <c r="E981" s="153" t="s">
        <v>949</v>
      </c>
      <c r="F981" s="164">
        <v>4</v>
      </c>
      <c r="G981" s="164">
        <f>'Assumptions TRC_AUN'!$J$71</f>
        <v>52696.125</v>
      </c>
      <c r="H981" s="164">
        <f t="shared" si="958"/>
        <v>210784.5</v>
      </c>
      <c r="I981" s="151"/>
      <c r="J981" s="151"/>
      <c r="K981" s="111"/>
      <c r="L981" s="111"/>
      <c r="M981" s="111"/>
      <c r="N981" s="111"/>
      <c r="O981" s="111"/>
      <c r="P981" s="111"/>
      <c r="Q981" s="111"/>
      <c r="R981" s="111"/>
      <c r="S981" s="712"/>
      <c r="T981" s="169" t="s">
        <v>946</v>
      </c>
      <c r="U981" s="169" t="s">
        <v>946</v>
      </c>
      <c r="V981" s="121" t="s">
        <v>950</v>
      </c>
      <c r="W981" s="121" t="s">
        <v>951</v>
      </c>
      <c r="X981" s="170">
        <f>'Assumptions TRC_AUN'!$J$72</f>
        <v>878.26874999999995</v>
      </c>
      <c r="Y981" s="200">
        <f t="shared" si="959"/>
        <v>240</v>
      </c>
      <c r="Z981" s="167">
        <f t="shared" si="960"/>
        <v>210784.5</v>
      </c>
      <c r="AA981" s="111"/>
      <c r="AB981" s="111"/>
      <c r="AC981" s="111"/>
      <c r="AD981" s="111"/>
      <c r="AE981" s="111"/>
      <c r="AF981" s="111"/>
      <c r="AG981" s="67"/>
    </row>
    <row r="982" spans="1:33">
      <c r="A982" s="134"/>
      <c r="B982" s="153">
        <v>4</v>
      </c>
      <c r="C982" s="153"/>
      <c r="D982" s="245" t="s">
        <v>1513</v>
      </c>
      <c r="E982" s="153" t="s">
        <v>949</v>
      </c>
      <c r="F982" s="164">
        <v>3</v>
      </c>
      <c r="G982" s="164">
        <f>'Assumptions TRC_AUN'!$J$90</f>
        <v>10982.125</v>
      </c>
      <c r="H982" s="164">
        <f t="shared" si="958"/>
        <v>32946.375</v>
      </c>
      <c r="I982" s="151"/>
      <c r="J982" s="151"/>
      <c r="K982" s="111"/>
      <c r="L982" s="111"/>
      <c r="M982" s="111"/>
      <c r="N982" s="111"/>
      <c r="O982" s="111"/>
      <c r="P982" s="111"/>
      <c r="Q982" s="111"/>
      <c r="R982" s="111"/>
      <c r="S982" s="712"/>
      <c r="T982" s="169" t="s">
        <v>946</v>
      </c>
      <c r="U982" s="169" t="s">
        <v>946</v>
      </c>
      <c r="V982" s="121" t="s">
        <v>950</v>
      </c>
      <c r="W982" s="121" t="s">
        <v>951</v>
      </c>
      <c r="X982" s="170">
        <f>'Assumptions TRC_AUN'!$J$110</f>
        <v>1336</v>
      </c>
      <c r="Y982" s="200">
        <f t="shared" si="959"/>
        <v>24.660460329341316</v>
      </c>
      <c r="Z982" s="167">
        <f t="shared" si="960"/>
        <v>32946.375</v>
      </c>
      <c r="AA982" s="111"/>
      <c r="AB982" s="111"/>
      <c r="AC982" s="111"/>
      <c r="AD982" s="111"/>
      <c r="AE982" s="111"/>
      <c r="AF982" s="111"/>
      <c r="AG982" s="67"/>
    </row>
    <row r="983" spans="1:33">
      <c r="A983" s="134"/>
      <c r="B983" s="153">
        <v>5</v>
      </c>
      <c r="C983" s="153"/>
      <c r="D983" s="285" t="s">
        <v>1514</v>
      </c>
      <c r="E983" s="153" t="s">
        <v>1182</v>
      </c>
      <c r="F983" s="164">
        <f>12*7</f>
        <v>84</v>
      </c>
      <c r="G983" s="194">
        <f>'Assumptions HR_AUN'!$E$5</f>
        <v>25194</v>
      </c>
      <c r="H983" s="164">
        <f t="shared" si="958"/>
        <v>2116296</v>
      </c>
      <c r="I983" s="151"/>
      <c r="J983" s="151"/>
      <c r="K983" s="111"/>
      <c r="L983" s="111"/>
      <c r="M983" s="111"/>
      <c r="N983" s="111"/>
      <c r="O983" s="111"/>
      <c r="P983" s="111"/>
      <c r="Q983" s="111"/>
      <c r="R983" s="111"/>
      <c r="S983" s="712"/>
      <c r="T983" s="169" t="s">
        <v>946</v>
      </c>
      <c r="U983" s="169" t="s">
        <v>946</v>
      </c>
      <c r="V983" s="121" t="s">
        <v>848</v>
      </c>
      <c r="W983" s="164" t="s">
        <v>947</v>
      </c>
      <c r="X983" s="170">
        <f>'Assumptions TRC_AUN'!$E$33</f>
        <v>3334</v>
      </c>
      <c r="Y983" s="200">
        <f t="shared" si="959"/>
        <v>634.76184763047388</v>
      </c>
      <c r="Z983" s="167">
        <f t="shared" si="960"/>
        <v>2116296</v>
      </c>
      <c r="AA983" s="111"/>
      <c r="AB983" s="111"/>
      <c r="AC983" s="111"/>
      <c r="AD983" s="111"/>
      <c r="AE983" s="111"/>
      <c r="AF983" s="111"/>
      <c r="AG983" s="67"/>
    </row>
    <row r="984" spans="1:33">
      <c r="A984" s="134"/>
      <c r="B984" s="153">
        <v>6</v>
      </c>
      <c r="C984" s="153"/>
      <c r="D984" s="245"/>
      <c r="E984" s="153"/>
      <c r="F984" s="164"/>
      <c r="G984" s="164"/>
      <c r="H984" s="164"/>
      <c r="I984" s="151"/>
      <c r="J984" s="151"/>
      <c r="K984" s="111"/>
      <c r="L984" s="111"/>
      <c r="M984" s="111"/>
      <c r="N984" s="111"/>
      <c r="O984" s="111"/>
      <c r="P984" s="111"/>
      <c r="Q984" s="111"/>
      <c r="R984" s="111"/>
      <c r="S984" s="712"/>
      <c r="T984" s="169" t="s">
        <v>946</v>
      </c>
      <c r="U984" s="169" t="s">
        <v>946</v>
      </c>
      <c r="V984" s="121" t="s">
        <v>848</v>
      </c>
      <c r="W984" s="164" t="s">
        <v>947</v>
      </c>
      <c r="X984" s="170">
        <f>'Assumptions TRC_AUN'!$E$33</f>
        <v>3334</v>
      </c>
      <c r="Y984" s="200">
        <f t="shared" si="959"/>
        <v>0</v>
      </c>
      <c r="Z984" s="167">
        <f t="shared" si="960"/>
        <v>0</v>
      </c>
      <c r="AA984" s="111"/>
      <c r="AB984" s="111"/>
      <c r="AC984" s="111"/>
      <c r="AD984" s="111"/>
      <c r="AE984" s="111"/>
      <c r="AF984" s="111"/>
      <c r="AG984" s="67"/>
    </row>
    <row r="985" spans="1:33">
      <c r="A985" s="134"/>
      <c r="B985" s="153">
        <v>7</v>
      </c>
      <c r="C985" s="153"/>
      <c r="D985" s="245"/>
      <c r="E985" s="153"/>
      <c r="F985" s="164"/>
      <c r="G985" s="164"/>
      <c r="H985" s="164"/>
      <c r="I985" s="151"/>
      <c r="J985" s="151"/>
      <c r="K985" s="111"/>
      <c r="L985" s="111"/>
      <c r="M985" s="111"/>
      <c r="N985" s="111"/>
      <c r="O985" s="111"/>
      <c r="P985" s="111"/>
      <c r="Q985" s="111"/>
      <c r="R985" s="111"/>
      <c r="S985" s="712"/>
      <c r="T985" s="169" t="s">
        <v>946</v>
      </c>
      <c r="U985" s="169" t="s">
        <v>946</v>
      </c>
      <c r="V985" s="121" t="s">
        <v>809</v>
      </c>
      <c r="W985" s="121" t="s">
        <v>791</v>
      </c>
      <c r="X985" s="170">
        <f>'Assumptions TRC_AUN'!$I$212</f>
        <v>10313</v>
      </c>
      <c r="Y985" s="200">
        <f t="shared" si="959"/>
        <v>0</v>
      </c>
      <c r="Z985" s="167">
        <f t="shared" si="960"/>
        <v>0</v>
      </c>
      <c r="AA985" s="111"/>
      <c r="AB985" s="111"/>
      <c r="AC985" s="111"/>
      <c r="AD985" s="111"/>
      <c r="AE985" s="111"/>
      <c r="AF985" s="111"/>
      <c r="AG985" s="67"/>
    </row>
    <row r="986" spans="1:33">
      <c r="A986" s="134"/>
      <c r="B986" s="153">
        <v>8</v>
      </c>
      <c r="C986" s="153"/>
      <c r="D986" s="245"/>
      <c r="E986" s="153"/>
      <c r="F986" s="164"/>
      <c r="G986" s="164"/>
      <c r="H986" s="164"/>
      <c r="I986" s="151"/>
      <c r="J986" s="151"/>
      <c r="K986" s="111"/>
      <c r="L986" s="111"/>
      <c r="M986" s="111"/>
      <c r="N986" s="111"/>
      <c r="O986" s="111"/>
      <c r="P986" s="111"/>
      <c r="Q986" s="111"/>
      <c r="R986" s="111"/>
      <c r="S986" s="712"/>
      <c r="T986" s="169" t="s">
        <v>946</v>
      </c>
      <c r="U986" s="169" t="s">
        <v>946</v>
      </c>
      <c r="V986" s="121" t="s">
        <v>848</v>
      </c>
      <c r="W986" s="164" t="s">
        <v>947</v>
      </c>
      <c r="X986" s="170">
        <f>'Assumptions TRC_AUN'!$E$33</f>
        <v>3334</v>
      </c>
      <c r="Y986" s="200">
        <f t="shared" si="959"/>
        <v>0</v>
      </c>
      <c r="Z986" s="167">
        <f t="shared" si="960"/>
        <v>0</v>
      </c>
      <c r="AA986" s="111"/>
      <c r="AB986" s="111"/>
      <c r="AC986" s="111"/>
      <c r="AD986" s="111"/>
      <c r="AE986" s="111"/>
      <c r="AF986" s="111"/>
      <c r="AG986" s="67"/>
    </row>
    <row r="987" spans="1:33">
      <c r="A987" s="134"/>
      <c r="B987" s="153">
        <v>9</v>
      </c>
      <c r="C987" s="153"/>
      <c r="D987" s="245" t="s">
        <v>1515</v>
      </c>
      <c r="E987" s="153" t="s">
        <v>1191</v>
      </c>
      <c r="F987" s="164">
        <v>24</v>
      </c>
      <c r="G987" s="164">
        <f>'Assumptions TRC_AUN'!$I$174</f>
        <v>5745</v>
      </c>
      <c r="H987" s="164">
        <f t="shared" ref="H987:H989" si="961">$F987*G987</f>
        <v>137880</v>
      </c>
      <c r="I987" s="132"/>
      <c r="J987" s="151"/>
      <c r="K987" s="111"/>
      <c r="L987" s="111"/>
      <c r="M987" s="111"/>
      <c r="N987" s="111"/>
      <c r="O987" s="111"/>
      <c r="P987" s="111"/>
      <c r="Q987" s="111"/>
      <c r="R987" s="111"/>
      <c r="S987" s="712"/>
      <c r="T987" s="169" t="s">
        <v>946</v>
      </c>
      <c r="U987" s="169" t="s">
        <v>946</v>
      </c>
      <c r="V987" s="121" t="s">
        <v>809</v>
      </c>
      <c r="W987" s="121" t="s">
        <v>791</v>
      </c>
      <c r="X987" s="170">
        <f>'Assumptions TRC_AUN'!$I$175</f>
        <v>2872.5</v>
      </c>
      <c r="Y987" s="200">
        <f t="shared" si="959"/>
        <v>48</v>
      </c>
      <c r="Z987" s="167">
        <f t="shared" si="960"/>
        <v>137880</v>
      </c>
      <c r="AA987" s="111"/>
      <c r="AB987" s="111"/>
      <c r="AC987" s="111"/>
      <c r="AD987" s="111"/>
      <c r="AE987" s="111"/>
      <c r="AF987" s="111"/>
      <c r="AG987" s="67"/>
    </row>
    <row r="988" spans="1:33">
      <c r="A988" s="134"/>
      <c r="B988" s="153">
        <v>1</v>
      </c>
      <c r="C988" s="153"/>
      <c r="D988" s="245" t="s">
        <v>1516</v>
      </c>
      <c r="E988" s="153" t="s">
        <v>1517</v>
      </c>
      <c r="F988" s="164">
        <f>12*7*7</f>
        <v>588</v>
      </c>
      <c r="G988" s="164">
        <f>'Assumptions TRC_AUN'!$E$33</f>
        <v>3334</v>
      </c>
      <c r="H988" s="164">
        <f t="shared" si="961"/>
        <v>1960392</v>
      </c>
      <c r="I988" s="132"/>
      <c r="J988" s="151"/>
      <c r="K988" s="111"/>
      <c r="L988" s="111"/>
      <c r="M988" s="111"/>
      <c r="N988" s="111"/>
      <c r="O988" s="111"/>
      <c r="P988" s="111"/>
      <c r="Q988" s="111"/>
      <c r="R988" s="111"/>
      <c r="S988" s="712"/>
      <c r="T988" s="169" t="e" vm="1">
        <f>'[2]AUN Budget'!$C$184</f>
        <v>#VALUE!</v>
      </c>
      <c r="U988" s="169" t="e" vm="1">
        <f>'[2]AUN Budget'!$D$184</f>
        <v>#VALUE!</v>
      </c>
      <c r="V988" s="121" t="s">
        <v>848</v>
      </c>
      <c r="W988" s="121" t="s">
        <v>947</v>
      </c>
      <c r="X988" s="170">
        <f>'Assumptions TRC_AUN'!$E$33</f>
        <v>3334</v>
      </c>
      <c r="Y988" s="200">
        <f t="shared" si="959"/>
        <v>588</v>
      </c>
      <c r="Z988" s="167">
        <f t="shared" si="960"/>
        <v>1960392</v>
      </c>
      <c r="AA988" s="111"/>
      <c r="AB988" s="111"/>
      <c r="AC988" s="111"/>
      <c r="AD988" s="111"/>
      <c r="AE988" s="111"/>
      <c r="AF988" s="111"/>
      <c r="AG988" s="67"/>
    </row>
    <row r="989" spans="1:33">
      <c r="A989" s="134"/>
      <c r="B989" s="153">
        <v>10</v>
      </c>
      <c r="C989" s="153"/>
      <c r="D989" s="245" t="s">
        <v>1518</v>
      </c>
      <c r="E989" s="153" t="s">
        <v>953</v>
      </c>
      <c r="F989" s="164">
        <v>1</v>
      </c>
      <c r="G989" s="164">
        <f>$D$41*4+$D$43+$D$45+$D$46*4</f>
        <v>116600</v>
      </c>
      <c r="H989" s="164">
        <f t="shared" si="961"/>
        <v>116600</v>
      </c>
      <c r="I989" s="132"/>
      <c r="J989" s="132"/>
      <c r="K989" s="132"/>
      <c r="L989" s="132"/>
      <c r="M989" s="132"/>
      <c r="N989" s="111"/>
      <c r="O989" s="111"/>
      <c r="P989" s="111"/>
      <c r="Q989" s="111"/>
      <c r="R989" s="111"/>
      <c r="S989" s="712"/>
      <c r="T989" s="169" t="s">
        <v>946</v>
      </c>
      <c r="U989" s="169" t="s">
        <v>946</v>
      </c>
      <c r="V989" s="121" t="s">
        <v>1392</v>
      </c>
      <c r="W989" s="164" t="s">
        <v>789</v>
      </c>
      <c r="X989" s="170">
        <f>G989</f>
        <v>116600</v>
      </c>
      <c r="Y989" s="200">
        <f t="shared" si="959"/>
        <v>1</v>
      </c>
      <c r="Z989" s="167">
        <f t="shared" si="960"/>
        <v>116600</v>
      </c>
      <c r="AA989" s="111"/>
      <c r="AB989" s="111"/>
      <c r="AC989" s="111"/>
      <c r="AD989" s="111"/>
      <c r="AE989" s="111"/>
      <c r="AF989" s="111"/>
      <c r="AG989" s="67"/>
    </row>
    <row r="990" spans="1:33">
      <c r="A990" s="134"/>
      <c r="B990" s="153">
        <v>11</v>
      </c>
      <c r="C990" s="121" t="s">
        <v>1001</v>
      </c>
      <c r="D990" s="153"/>
      <c r="E990" s="153"/>
      <c r="F990" s="164"/>
      <c r="G990" s="164"/>
      <c r="H990" s="164">
        <f>SUM(H979:H989)*10%</f>
        <v>533782.28749999998</v>
      </c>
      <c r="I990" s="132"/>
      <c r="J990" s="132"/>
      <c r="K990" s="132"/>
      <c r="L990" s="132"/>
      <c r="M990" s="132"/>
      <c r="N990" s="111"/>
      <c r="O990" s="111"/>
      <c r="P990" s="111"/>
      <c r="Q990" s="111"/>
      <c r="R990" s="111"/>
      <c r="S990" s="712"/>
      <c r="T990" s="169" t="s">
        <v>946</v>
      </c>
      <c r="U990" s="169" t="s">
        <v>946</v>
      </c>
      <c r="V990" s="121" t="s">
        <v>875</v>
      </c>
      <c r="W990" s="121" t="s">
        <v>961</v>
      </c>
      <c r="X990" s="170">
        <f>'Assumptions HR_AUN'!$D$4*3</f>
        <v>88211.039066799218</v>
      </c>
      <c r="Y990" s="200">
        <f t="shared" si="959"/>
        <v>6.0511960084245784</v>
      </c>
      <c r="Z990" s="167">
        <f t="shared" si="960"/>
        <v>533782.28749999998</v>
      </c>
      <c r="AA990" s="111"/>
      <c r="AB990" s="111"/>
      <c r="AC990" s="111"/>
      <c r="AD990" s="111"/>
      <c r="AE990" s="111"/>
      <c r="AF990" s="111"/>
      <c r="AG990" s="67"/>
    </row>
    <row r="991" spans="1:33">
      <c r="A991" s="134"/>
      <c r="B991" s="153">
        <v>12</v>
      </c>
      <c r="C991" s="121" t="s">
        <v>962</v>
      </c>
      <c r="D991" s="153"/>
      <c r="E991" s="153"/>
      <c r="F991" s="221"/>
      <c r="G991" s="164"/>
      <c r="H991" s="164">
        <f>SUM(H979:H989)*15%</f>
        <v>800673.43125000002</v>
      </c>
      <c r="I991" s="132"/>
      <c r="J991" s="132"/>
      <c r="K991" s="132"/>
      <c r="L991" s="132"/>
      <c r="M991" s="132"/>
      <c r="N991" s="111"/>
      <c r="O991" s="111"/>
      <c r="P991" s="111"/>
      <c r="Q991" s="111"/>
      <c r="R991" s="111"/>
      <c r="S991" s="712"/>
      <c r="T991" s="169" t="s">
        <v>946</v>
      </c>
      <c r="U991" s="169" t="s">
        <v>946</v>
      </c>
      <c r="V991" s="121" t="s">
        <v>881</v>
      </c>
      <c r="W991" s="121" t="s">
        <v>964</v>
      </c>
      <c r="X991" s="170">
        <f>H991/4</f>
        <v>200168.35781250001</v>
      </c>
      <c r="Y991" s="200">
        <f t="shared" si="959"/>
        <v>4</v>
      </c>
      <c r="Z991" s="167">
        <f t="shared" si="960"/>
        <v>800673.43125000002</v>
      </c>
      <c r="AA991" s="111"/>
      <c r="AB991" s="111"/>
      <c r="AC991" s="111"/>
      <c r="AD991" s="111"/>
      <c r="AE991" s="111"/>
      <c r="AF991" s="111"/>
      <c r="AG991" s="67"/>
    </row>
    <row r="992" spans="1:33">
      <c r="A992" s="134"/>
      <c r="B992" s="186"/>
      <c r="C992" s="186" t="s">
        <v>770</v>
      </c>
      <c r="D992" s="186"/>
      <c r="E992" s="186"/>
      <c r="F992" s="276"/>
      <c r="G992" s="276"/>
      <c r="H992" s="276">
        <f>SUM(H979:H991)</f>
        <v>6672278.59375</v>
      </c>
      <c r="I992" s="132"/>
      <c r="J992" s="111"/>
      <c r="K992" s="111"/>
      <c r="L992" s="111"/>
      <c r="M992" s="111"/>
      <c r="N992" s="111"/>
      <c r="O992" s="111"/>
      <c r="P992" s="111"/>
      <c r="Q992" s="111"/>
      <c r="R992" s="111"/>
      <c r="S992" s="712"/>
      <c r="T992" s="111"/>
      <c r="U992" s="111"/>
      <c r="V992" s="67"/>
      <c r="W992" s="111"/>
      <c r="X992" s="132"/>
      <c r="Y992" s="111"/>
      <c r="Z992" s="111"/>
      <c r="AA992" s="111"/>
      <c r="AB992" s="111"/>
      <c r="AC992" s="111"/>
      <c r="AD992" s="111"/>
      <c r="AE992" s="111"/>
      <c r="AF992" s="111"/>
      <c r="AG992" s="67"/>
    </row>
    <row r="993" spans="1:33">
      <c r="A993" s="9"/>
      <c r="B993" s="111"/>
      <c r="C993" s="111"/>
      <c r="D993" s="111"/>
      <c r="E993" s="111"/>
      <c r="F993" s="111"/>
      <c r="G993" s="111"/>
      <c r="H993" s="151"/>
      <c r="I993" s="151"/>
      <c r="J993" s="151"/>
      <c r="K993" s="151"/>
      <c r="L993" s="111"/>
      <c r="M993" s="111"/>
      <c r="N993" s="111"/>
      <c r="O993" s="111"/>
      <c r="P993" s="111"/>
      <c r="Q993" s="111"/>
      <c r="R993" s="111"/>
      <c r="S993" s="712"/>
      <c r="T993" s="111"/>
      <c r="U993" s="111"/>
      <c r="V993" s="67"/>
      <c r="W993" s="111"/>
      <c r="X993" s="132"/>
      <c r="Y993" s="111"/>
      <c r="Z993" s="111"/>
      <c r="AA993" s="111"/>
      <c r="AB993" s="111"/>
      <c r="AC993" s="111"/>
      <c r="AD993" s="111"/>
      <c r="AE993" s="111"/>
      <c r="AF993" s="111"/>
      <c r="AG993" s="67"/>
    </row>
    <row r="994" spans="1:33">
      <c r="A994" s="725">
        <v>55</v>
      </c>
      <c r="B994" s="726" t="e" vm="1">
        <f>'[2]AUN Budget'!$E$215</f>
        <v>#VALUE!</v>
      </c>
      <c r="C994" s="731"/>
      <c r="D994" s="731"/>
      <c r="E994" s="731"/>
      <c r="F994" s="731"/>
      <c r="G994" s="731"/>
      <c r="H994" s="731"/>
      <c r="I994" s="111"/>
      <c r="J994" s="111"/>
      <c r="K994" s="111"/>
      <c r="L994" s="111"/>
      <c r="M994" s="111"/>
      <c r="N994" s="111"/>
      <c r="O994" s="111"/>
      <c r="P994" s="111"/>
      <c r="Q994" s="111"/>
      <c r="R994" s="111"/>
      <c r="S994" s="712"/>
      <c r="T994" s="111"/>
      <c r="U994" s="111"/>
      <c r="V994" s="67"/>
      <c r="W994" s="111"/>
      <c r="X994" s="132"/>
      <c r="Y994" s="111"/>
      <c r="Z994" s="111"/>
      <c r="AA994" s="111"/>
      <c r="AB994" s="111"/>
      <c r="AC994" s="111"/>
      <c r="AD994" s="111"/>
      <c r="AE994" s="111"/>
      <c r="AF994" s="111"/>
      <c r="AG994" s="67"/>
    </row>
    <row r="995" spans="1:33">
      <c r="A995" s="134" t="s">
        <v>185</v>
      </c>
      <c r="B995" s="113" t="s">
        <v>755</v>
      </c>
      <c r="C995" s="113" t="s">
        <v>1304</v>
      </c>
      <c r="D995" s="113" t="s">
        <v>1305</v>
      </c>
      <c r="E995" s="113" t="s">
        <v>697</v>
      </c>
      <c r="F995" s="113" t="s">
        <v>1476</v>
      </c>
      <c r="G995" s="113" t="s">
        <v>1477</v>
      </c>
      <c r="H995" s="113" t="s">
        <v>1478</v>
      </c>
      <c r="I995" s="111"/>
      <c r="J995" s="111"/>
      <c r="K995" s="111"/>
      <c r="L995" s="111"/>
      <c r="M995" s="111"/>
      <c r="N995" s="111"/>
      <c r="O995" s="111"/>
      <c r="P995" s="111"/>
      <c r="Q995" s="111"/>
      <c r="R995" s="111"/>
      <c r="S995" s="712"/>
      <c r="T995" s="159" t="s">
        <v>387</v>
      </c>
      <c r="U995" s="159" t="s">
        <v>388</v>
      </c>
      <c r="V995" s="160" t="s">
        <v>934</v>
      </c>
      <c r="W995" s="160" t="s">
        <v>935</v>
      </c>
      <c r="X995" s="161" t="s">
        <v>936</v>
      </c>
      <c r="Y995" s="162" t="s">
        <v>937</v>
      </c>
      <c r="Z995" s="161" t="s">
        <v>938</v>
      </c>
      <c r="AA995" s="111"/>
      <c r="AB995" s="111"/>
      <c r="AC995" s="111"/>
      <c r="AD995" s="111"/>
      <c r="AE995" s="111"/>
      <c r="AF995" s="111"/>
      <c r="AG995" s="67"/>
    </row>
    <row r="996" spans="1:33">
      <c r="A996" s="134"/>
      <c r="B996" s="153">
        <v>1</v>
      </c>
      <c r="C996" s="153"/>
      <c r="D996" s="245" t="s">
        <v>1519</v>
      </c>
      <c r="E996" s="153" t="s">
        <v>1182</v>
      </c>
      <c r="F996" s="164">
        <v>300</v>
      </c>
      <c r="G996" s="194">
        <v>11889</v>
      </c>
      <c r="H996" s="164">
        <f t="shared" ref="H996:H1003" si="962">$F996*G996</f>
        <v>3566700</v>
      </c>
      <c r="I996" s="111"/>
      <c r="J996" s="151"/>
      <c r="K996" s="111"/>
      <c r="L996" s="111"/>
      <c r="M996" s="111"/>
      <c r="N996" s="111"/>
      <c r="O996" s="111"/>
      <c r="P996" s="111"/>
      <c r="Q996" s="111"/>
      <c r="R996" s="111"/>
      <c r="S996" s="712"/>
      <c r="T996" s="169" t="s">
        <v>946</v>
      </c>
      <c r="U996" s="169" t="s">
        <v>946</v>
      </c>
      <c r="V996" s="121" t="s">
        <v>848</v>
      </c>
      <c r="W996" s="164" t="s">
        <v>947</v>
      </c>
      <c r="X996" s="170">
        <f>'Assumptions TRC_AUN'!$E$33</f>
        <v>3334</v>
      </c>
      <c r="Y996" s="200">
        <f t="shared" ref="Y996:Y1005" si="963">Z996/X996</f>
        <v>1069.7960407918417</v>
      </c>
      <c r="Z996" s="167">
        <f t="shared" ref="Z996:Z1005" si="964">H996</f>
        <v>3566700</v>
      </c>
      <c r="AA996" s="111"/>
      <c r="AB996" s="111"/>
      <c r="AC996" s="111"/>
      <c r="AD996" s="111"/>
      <c r="AE996" s="111"/>
      <c r="AF996" s="111"/>
      <c r="AG996" s="67"/>
    </row>
    <row r="997" spans="1:33">
      <c r="A997" s="134"/>
      <c r="B997" s="153">
        <v>2</v>
      </c>
      <c r="C997" s="153"/>
      <c r="D997" s="245" t="s">
        <v>1520</v>
      </c>
      <c r="E997" s="153" t="s">
        <v>949</v>
      </c>
      <c r="F997" s="164">
        <v>1</v>
      </c>
      <c r="G997" s="164">
        <f>'Assumptions TRC_AUN'!$J$71</f>
        <v>52696.125</v>
      </c>
      <c r="H997" s="164">
        <f t="shared" si="962"/>
        <v>52696.125</v>
      </c>
      <c r="I997" s="111"/>
      <c r="J997" s="151"/>
      <c r="K997" s="111"/>
      <c r="L997" s="111"/>
      <c r="M997" s="111"/>
      <c r="N997" s="111"/>
      <c r="O997" s="111"/>
      <c r="P997" s="111"/>
      <c r="Q997" s="111"/>
      <c r="R997" s="111"/>
      <c r="S997" s="712"/>
      <c r="T997" s="169" t="s">
        <v>946</v>
      </c>
      <c r="U997" s="169" t="s">
        <v>946</v>
      </c>
      <c r="V997" s="121" t="s">
        <v>950</v>
      </c>
      <c r="W997" s="121" t="s">
        <v>951</v>
      </c>
      <c r="X997" s="170">
        <f>'Assumptions TRC_AUN'!$J$72</f>
        <v>878.26874999999995</v>
      </c>
      <c r="Y997" s="200">
        <f t="shared" si="963"/>
        <v>60</v>
      </c>
      <c r="Z997" s="167">
        <f t="shared" si="964"/>
        <v>52696.125</v>
      </c>
      <c r="AA997" s="111"/>
      <c r="AB997" s="111"/>
      <c r="AC997" s="111"/>
      <c r="AD997" s="111"/>
      <c r="AE997" s="111"/>
      <c r="AF997" s="111"/>
      <c r="AG997" s="67"/>
    </row>
    <row r="998" spans="1:33">
      <c r="A998" s="134"/>
      <c r="B998" s="153">
        <v>3</v>
      </c>
      <c r="C998" s="153"/>
      <c r="D998" s="245" t="s">
        <v>1521</v>
      </c>
      <c r="E998" s="153" t="s">
        <v>949</v>
      </c>
      <c r="F998" s="164">
        <v>1</v>
      </c>
      <c r="G998" s="164">
        <f>'Assumptions TRC_AUN'!$J$71</f>
        <v>52696.125</v>
      </c>
      <c r="H998" s="164">
        <f t="shared" si="962"/>
        <v>52696.125</v>
      </c>
      <c r="I998" s="111"/>
      <c r="J998" s="151"/>
      <c r="K998" s="111"/>
      <c r="L998" s="111"/>
      <c r="M998" s="111"/>
      <c r="N998" s="111"/>
      <c r="O998" s="111"/>
      <c r="P998" s="111"/>
      <c r="Q998" s="111"/>
      <c r="R998" s="111"/>
      <c r="S998" s="712"/>
      <c r="T998" s="169" t="s">
        <v>946</v>
      </c>
      <c r="U998" s="169" t="s">
        <v>946</v>
      </c>
      <c r="V998" s="121" t="s">
        <v>950</v>
      </c>
      <c r="W998" s="121" t="s">
        <v>951</v>
      </c>
      <c r="X998" s="170">
        <f>'Assumptions TRC_AUN'!$J$72</f>
        <v>878.26874999999995</v>
      </c>
      <c r="Y998" s="200">
        <f t="shared" si="963"/>
        <v>60</v>
      </c>
      <c r="Z998" s="167">
        <f t="shared" si="964"/>
        <v>52696.125</v>
      </c>
      <c r="AA998" s="111"/>
      <c r="AB998" s="111"/>
      <c r="AC998" s="111"/>
      <c r="AD998" s="111"/>
      <c r="AE998" s="111"/>
      <c r="AF998" s="111"/>
      <c r="AG998" s="67"/>
    </row>
    <row r="999" spans="1:33">
      <c r="A999" s="134"/>
      <c r="B999" s="153">
        <v>4</v>
      </c>
      <c r="C999" s="153"/>
      <c r="D999" s="245" t="s">
        <v>1522</v>
      </c>
      <c r="E999" s="153" t="s">
        <v>949</v>
      </c>
      <c r="F999" s="164">
        <v>1</v>
      </c>
      <c r="G999" s="164">
        <f>'Assumptions TRC_AUN'!$J$71</f>
        <v>52696.125</v>
      </c>
      <c r="H999" s="164">
        <f t="shared" si="962"/>
        <v>52696.125</v>
      </c>
      <c r="I999" s="111"/>
      <c r="J999" s="151"/>
      <c r="K999" s="111"/>
      <c r="L999" s="111"/>
      <c r="M999" s="111"/>
      <c r="N999" s="111"/>
      <c r="O999" s="111"/>
      <c r="P999" s="111"/>
      <c r="Q999" s="111"/>
      <c r="R999" s="111"/>
      <c r="S999" s="712"/>
      <c r="T999" s="169" t="s">
        <v>946</v>
      </c>
      <c r="U999" s="169" t="s">
        <v>946</v>
      </c>
      <c r="V999" s="121" t="s">
        <v>950</v>
      </c>
      <c r="W999" s="121" t="s">
        <v>951</v>
      </c>
      <c r="X999" s="170">
        <f>'Assumptions TRC_AUN'!$J$72</f>
        <v>878.26874999999995</v>
      </c>
      <c r="Y999" s="200">
        <f t="shared" si="963"/>
        <v>60</v>
      </c>
      <c r="Z999" s="167">
        <f t="shared" si="964"/>
        <v>52696.125</v>
      </c>
      <c r="AA999" s="111"/>
      <c r="AB999" s="111"/>
      <c r="AC999" s="111"/>
      <c r="AD999" s="111"/>
      <c r="AE999" s="111"/>
      <c r="AF999" s="111"/>
      <c r="AG999" s="67"/>
    </row>
    <row r="1000" spans="1:33">
      <c r="A1000" s="134"/>
      <c r="B1000" s="153">
        <v>5</v>
      </c>
      <c r="C1000" s="153"/>
      <c r="D1000" s="245" t="s">
        <v>1523</v>
      </c>
      <c r="E1000" s="153" t="s">
        <v>949</v>
      </c>
      <c r="F1000" s="164">
        <v>1</v>
      </c>
      <c r="G1000" s="164">
        <f>'Assumptions TRC_AUN'!$J$71</f>
        <v>52696.125</v>
      </c>
      <c r="H1000" s="164">
        <f t="shared" si="962"/>
        <v>52696.125</v>
      </c>
      <c r="I1000" s="111"/>
      <c r="J1000" s="151"/>
      <c r="K1000" s="111"/>
      <c r="L1000" s="111"/>
      <c r="M1000" s="111"/>
      <c r="N1000" s="111"/>
      <c r="O1000" s="111"/>
      <c r="P1000" s="111"/>
      <c r="Q1000" s="111"/>
      <c r="R1000" s="111"/>
      <c r="S1000" s="712"/>
      <c r="T1000" s="169" t="s">
        <v>946</v>
      </c>
      <c r="U1000" s="169" t="s">
        <v>946</v>
      </c>
      <c r="V1000" s="121" t="s">
        <v>950</v>
      </c>
      <c r="W1000" s="121" t="s">
        <v>951</v>
      </c>
      <c r="X1000" s="170">
        <f>'Assumptions TRC_AUN'!$J$72</f>
        <v>878.26874999999995</v>
      </c>
      <c r="Y1000" s="200">
        <f t="shared" si="963"/>
        <v>60</v>
      </c>
      <c r="Z1000" s="167">
        <f t="shared" si="964"/>
        <v>52696.125</v>
      </c>
      <c r="AA1000" s="111"/>
      <c r="AB1000" s="111"/>
      <c r="AC1000" s="111"/>
      <c r="AD1000" s="111"/>
      <c r="AE1000" s="111"/>
      <c r="AF1000" s="111"/>
      <c r="AG1000" s="67"/>
    </row>
    <row r="1001" spans="1:33">
      <c r="A1001" s="134"/>
      <c r="B1001" s="153">
        <v>6</v>
      </c>
      <c r="C1001" s="153"/>
      <c r="D1001" s="245" t="s">
        <v>1524</v>
      </c>
      <c r="E1001" s="153" t="s">
        <v>949</v>
      </c>
      <c r="F1001" s="164">
        <v>1</v>
      </c>
      <c r="G1001" s="164">
        <f>'Assumptions TRC_AUN'!$I$163</f>
        <v>367128.25</v>
      </c>
      <c r="H1001" s="164">
        <f t="shared" si="962"/>
        <v>367128.25</v>
      </c>
      <c r="I1001" s="111"/>
      <c r="J1001" s="151"/>
      <c r="K1001" s="111"/>
      <c r="L1001" s="111"/>
      <c r="M1001" s="111"/>
      <c r="N1001" s="111"/>
      <c r="O1001" s="111"/>
      <c r="P1001" s="111"/>
      <c r="Q1001" s="111"/>
      <c r="R1001" s="111"/>
      <c r="S1001" s="712"/>
      <c r="T1001" s="169" t="s">
        <v>946</v>
      </c>
      <c r="U1001" s="169" t="s">
        <v>946</v>
      </c>
      <c r="V1001" s="121" t="s">
        <v>813</v>
      </c>
      <c r="W1001" s="121" t="s">
        <v>1094</v>
      </c>
      <c r="X1001" s="170">
        <f>'Assumptions TRC_AUN'!$I$164</f>
        <v>2039.601388888889</v>
      </c>
      <c r="Y1001" s="200">
        <f t="shared" si="963"/>
        <v>180</v>
      </c>
      <c r="Z1001" s="167">
        <f t="shared" si="964"/>
        <v>367128.25</v>
      </c>
      <c r="AA1001" s="111"/>
      <c r="AB1001" s="111"/>
      <c r="AC1001" s="111"/>
      <c r="AD1001" s="111"/>
      <c r="AE1001" s="111"/>
      <c r="AF1001" s="111"/>
      <c r="AG1001" s="67"/>
    </row>
    <row r="1002" spans="1:33">
      <c r="A1002" s="134"/>
      <c r="B1002" s="153">
        <v>7</v>
      </c>
      <c r="C1002" s="153"/>
      <c r="D1002" s="245" t="s">
        <v>1525</v>
      </c>
      <c r="E1002" s="153" t="s">
        <v>949</v>
      </c>
      <c r="F1002" s="164">
        <v>30</v>
      </c>
      <c r="G1002" s="164">
        <f>'Assumptions TRC_AUN'!$J$146</f>
        <v>2200</v>
      </c>
      <c r="H1002" s="164">
        <f t="shared" si="962"/>
        <v>66000</v>
      </c>
      <c r="I1002" s="111"/>
      <c r="J1002" s="151"/>
      <c r="K1002" s="111"/>
      <c r="L1002" s="111"/>
      <c r="M1002" s="111"/>
      <c r="N1002" s="111"/>
      <c r="O1002" s="111"/>
      <c r="P1002" s="111"/>
      <c r="Q1002" s="111"/>
      <c r="R1002" s="111"/>
      <c r="S1002" s="712"/>
      <c r="T1002" s="169" t="s">
        <v>946</v>
      </c>
      <c r="U1002" s="169" t="s">
        <v>946</v>
      </c>
      <c r="V1002" s="121" t="s">
        <v>813</v>
      </c>
      <c r="W1002" s="121" t="s">
        <v>1094</v>
      </c>
      <c r="X1002" s="170">
        <f>'Assumptions TRC_AUN'!$J$147</f>
        <v>220</v>
      </c>
      <c r="Y1002" s="200">
        <f t="shared" si="963"/>
        <v>300</v>
      </c>
      <c r="Z1002" s="167">
        <f t="shared" si="964"/>
        <v>66000</v>
      </c>
      <c r="AA1002" s="111"/>
      <c r="AB1002" s="111"/>
      <c r="AC1002" s="111"/>
      <c r="AD1002" s="111"/>
      <c r="AE1002" s="111"/>
      <c r="AF1002" s="111"/>
      <c r="AG1002" s="67"/>
    </row>
    <row r="1003" spans="1:33">
      <c r="A1003" s="134"/>
      <c r="B1003" s="153">
        <v>8</v>
      </c>
      <c r="C1003" s="153"/>
      <c r="D1003" s="245" t="s">
        <v>1526</v>
      </c>
      <c r="E1003" s="153" t="s">
        <v>949</v>
      </c>
      <c r="F1003" s="164">
        <v>3</v>
      </c>
      <c r="G1003" s="164">
        <f>'Assumptions TRC_AUN'!$J$146</f>
        <v>2200</v>
      </c>
      <c r="H1003" s="164">
        <f t="shared" si="962"/>
        <v>6600</v>
      </c>
      <c r="I1003" s="111"/>
      <c r="J1003" s="151"/>
      <c r="K1003" s="111"/>
      <c r="L1003" s="111"/>
      <c r="M1003" s="111"/>
      <c r="N1003" s="111"/>
      <c r="O1003" s="111"/>
      <c r="P1003" s="111"/>
      <c r="Q1003" s="111"/>
      <c r="R1003" s="111"/>
      <c r="S1003" s="712"/>
      <c r="T1003" s="169" t="s">
        <v>946</v>
      </c>
      <c r="U1003" s="169" t="s">
        <v>946</v>
      </c>
      <c r="V1003" s="121" t="s">
        <v>813</v>
      </c>
      <c r="W1003" s="121" t="s">
        <v>1094</v>
      </c>
      <c r="X1003" s="170">
        <f>'Assumptions TRC_AUN'!$J$147</f>
        <v>220</v>
      </c>
      <c r="Y1003" s="200">
        <f t="shared" si="963"/>
        <v>30</v>
      </c>
      <c r="Z1003" s="167">
        <f t="shared" si="964"/>
        <v>6600</v>
      </c>
      <c r="AA1003" s="111"/>
      <c r="AB1003" s="111"/>
      <c r="AC1003" s="111"/>
      <c r="AD1003" s="111"/>
      <c r="AE1003" s="111"/>
      <c r="AF1003" s="111"/>
      <c r="AG1003" s="67"/>
    </row>
    <row r="1004" spans="1:33">
      <c r="A1004" s="134"/>
      <c r="B1004" s="153">
        <v>9</v>
      </c>
      <c r="C1004" s="121" t="s">
        <v>1001</v>
      </c>
      <c r="D1004" s="153"/>
      <c r="E1004" s="153"/>
      <c r="F1004" s="221"/>
      <c r="G1004" s="164"/>
      <c r="H1004" s="164">
        <f>SUM(H996:H1003)*10%</f>
        <v>421721.27500000002</v>
      </c>
      <c r="I1004" s="111"/>
      <c r="J1004" s="151"/>
      <c r="K1004" s="111"/>
      <c r="L1004" s="111"/>
      <c r="M1004" s="111"/>
      <c r="N1004" s="111"/>
      <c r="O1004" s="111"/>
      <c r="P1004" s="111"/>
      <c r="Q1004" s="111"/>
      <c r="R1004" s="111"/>
      <c r="S1004" s="712"/>
      <c r="T1004" s="169" t="s">
        <v>946</v>
      </c>
      <c r="U1004" s="169" t="s">
        <v>946</v>
      </c>
      <c r="V1004" s="121" t="s">
        <v>875</v>
      </c>
      <c r="W1004" s="121" t="s">
        <v>961</v>
      </c>
      <c r="X1004" s="170">
        <f>'Assumptions HR_AUN'!$D$4*3</f>
        <v>88211.039066799218</v>
      </c>
      <c r="Y1004" s="200">
        <f t="shared" si="963"/>
        <v>4.7808219862442032</v>
      </c>
      <c r="Z1004" s="167">
        <f t="shared" si="964"/>
        <v>421721.27500000002</v>
      </c>
      <c r="AA1004" s="111"/>
      <c r="AB1004" s="111"/>
      <c r="AC1004" s="111"/>
      <c r="AD1004" s="111"/>
      <c r="AE1004" s="111"/>
      <c r="AF1004" s="111"/>
      <c r="AG1004" s="67"/>
    </row>
    <row r="1005" spans="1:33">
      <c r="A1005" s="134"/>
      <c r="B1005" s="153">
        <v>10</v>
      </c>
      <c r="C1005" s="121" t="s">
        <v>962</v>
      </c>
      <c r="D1005" s="153"/>
      <c r="E1005" s="153"/>
      <c r="F1005" s="221"/>
      <c r="G1005" s="164"/>
      <c r="H1005" s="164">
        <f>SUM(H996:H1003)*15%</f>
        <v>632581.91249999998</v>
      </c>
      <c r="I1005" s="111"/>
      <c r="J1005" s="151"/>
      <c r="K1005" s="111"/>
      <c r="L1005" s="111"/>
      <c r="M1005" s="111"/>
      <c r="N1005" s="111"/>
      <c r="O1005" s="111"/>
      <c r="P1005" s="111"/>
      <c r="Q1005" s="111"/>
      <c r="R1005" s="111"/>
      <c r="S1005" s="712"/>
      <c r="T1005" s="169" t="s">
        <v>946</v>
      </c>
      <c r="U1005" s="169" t="s">
        <v>946</v>
      </c>
      <c r="V1005" s="121" t="s">
        <v>881</v>
      </c>
      <c r="W1005" s="121" t="s">
        <v>964</v>
      </c>
      <c r="X1005" s="170">
        <f>H1005/4</f>
        <v>158145.47812499999</v>
      </c>
      <c r="Y1005" s="200">
        <f t="shared" si="963"/>
        <v>4</v>
      </c>
      <c r="Z1005" s="167">
        <f t="shared" si="964"/>
        <v>632581.91249999998</v>
      </c>
      <c r="AA1005" s="111"/>
      <c r="AB1005" s="111"/>
      <c r="AC1005" s="111"/>
      <c r="AD1005" s="111"/>
      <c r="AE1005" s="111"/>
      <c r="AF1005" s="111"/>
      <c r="AG1005" s="67"/>
    </row>
    <row r="1006" spans="1:33">
      <c r="A1006" s="134"/>
      <c r="B1006" s="186"/>
      <c r="C1006" s="186" t="s">
        <v>770</v>
      </c>
      <c r="D1006" s="186"/>
      <c r="E1006" s="186"/>
      <c r="F1006" s="276"/>
      <c r="G1006" s="276"/>
      <c r="H1006" s="276">
        <f>SUM(H996:H1005)</f>
        <v>5271515.9375</v>
      </c>
      <c r="I1006" s="111"/>
      <c r="J1006" s="111"/>
      <c r="K1006" s="111"/>
      <c r="L1006" s="111"/>
      <c r="M1006" s="111"/>
      <c r="N1006" s="111"/>
      <c r="O1006" s="111"/>
      <c r="P1006" s="111"/>
      <c r="Q1006" s="111"/>
      <c r="R1006" s="111"/>
      <c r="S1006" s="712"/>
      <c r="T1006" s="111"/>
      <c r="U1006" s="111"/>
      <c r="V1006" s="67"/>
      <c r="W1006" s="111"/>
      <c r="X1006" s="132"/>
      <c r="Y1006" s="111"/>
      <c r="Z1006" s="111"/>
      <c r="AA1006" s="111"/>
      <c r="AB1006" s="111"/>
      <c r="AC1006" s="111"/>
      <c r="AD1006" s="111"/>
      <c r="AE1006" s="111"/>
      <c r="AF1006" s="111"/>
      <c r="AG1006" s="67"/>
    </row>
    <row r="1007" spans="1:33">
      <c r="A1007" s="9"/>
      <c r="B1007" s="111"/>
      <c r="C1007" s="111"/>
      <c r="D1007" s="111"/>
      <c r="E1007" s="111"/>
      <c r="F1007" s="111"/>
      <c r="G1007" s="111"/>
      <c r="H1007" s="151"/>
      <c r="I1007" s="151"/>
      <c r="J1007" s="151"/>
      <c r="K1007" s="151"/>
      <c r="L1007" s="111"/>
      <c r="M1007" s="111"/>
      <c r="N1007" s="111"/>
      <c r="O1007" s="111"/>
      <c r="P1007" s="111"/>
      <c r="Q1007" s="111"/>
      <c r="R1007" s="111"/>
      <c r="S1007" s="712"/>
      <c r="T1007" s="111"/>
      <c r="U1007" s="111"/>
      <c r="V1007" s="67"/>
      <c r="W1007" s="111"/>
      <c r="X1007" s="132"/>
      <c r="Y1007" s="111"/>
      <c r="Z1007" s="111"/>
      <c r="AA1007" s="111"/>
      <c r="AB1007" s="111"/>
      <c r="AC1007" s="111"/>
      <c r="AD1007" s="111"/>
      <c r="AE1007" s="111"/>
      <c r="AF1007" s="111"/>
      <c r="AG1007" s="67"/>
    </row>
    <row r="1008" spans="1:33">
      <c r="A1008" s="725">
        <v>56</v>
      </c>
      <c r="B1008" s="726" t="e" vm="1">
        <f>'[2]AUN Budget'!$E$221</f>
        <v>#VALUE!</v>
      </c>
      <c r="C1008" s="731"/>
      <c r="D1008" s="731"/>
      <c r="E1008" s="731"/>
      <c r="F1008" s="731"/>
      <c r="G1008" s="731"/>
      <c r="H1008" s="731"/>
      <c r="I1008" s="111"/>
      <c r="J1008" s="111"/>
      <c r="K1008" s="111"/>
      <c r="L1008" s="111"/>
      <c r="M1008" s="111"/>
      <c r="N1008" s="111"/>
      <c r="O1008" s="111"/>
      <c r="P1008" s="111"/>
      <c r="Q1008" s="111"/>
      <c r="R1008" s="111"/>
      <c r="S1008" s="712"/>
      <c r="T1008" s="111"/>
      <c r="U1008" s="111"/>
      <c r="V1008" s="67"/>
      <c r="W1008" s="111"/>
      <c r="X1008" s="132"/>
      <c r="Y1008" s="111"/>
      <c r="Z1008" s="111"/>
      <c r="AA1008" s="111"/>
      <c r="AB1008" s="111"/>
      <c r="AC1008" s="111"/>
      <c r="AD1008" s="111"/>
      <c r="AE1008" s="111"/>
      <c r="AF1008" s="111"/>
      <c r="AG1008" s="67"/>
    </row>
    <row r="1009" spans="1:33">
      <c r="A1009" s="134" t="s">
        <v>199</v>
      </c>
      <c r="B1009" s="113" t="s">
        <v>755</v>
      </c>
      <c r="C1009" s="113" t="s">
        <v>1304</v>
      </c>
      <c r="D1009" s="113" t="s">
        <v>1305</v>
      </c>
      <c r="E1009" s="113" t="s">
        <v>697</v>
      </c>
      <c r="F1009" s="113" t="s">
        <v>1476</v>
      </c>
      <c r="G1009" s="113" t="s">
        <v>1477</v>
      </c>
      <c r="H1009" s="113" t="s">
        <v>1478</v>
      </c>
      <c r="I1009" s="111"/>
      <c r="J1009" s="111"/>
      <c r="K1009" s="111"/>
      <c r="L1009" s="111"/>
      <c r="M1009" s="111"/>
      <c r="N1009" s="111"/>
      <c r="O1009" s="111"/>
      <c r="P1009" s="111"/>
      <c r="Q1009" s="111"/>
      <c r="R1009" s="111"/>
      <c r="S1009" s="712"/>
      <c r="T1009" s="159" t="s">
        <v>387</v>
      </c>
      <c r="U1009" s="159" t="s">
        <v>388</v>
      </c>
      <c r="V1009" s="160" t="s">
        <v>934</v>
      </c>
      <c r="W1009" s="160" t="s">
        <v>935</v>
      </c>
      <c r="X1009" s="161" t="s">
        <v>936</v>
      </c>
      <c r="Y1009" s="162" t="s">
        <v>937</v>
      </c>
      <c r="Z1009" s="161" t="s">
        <v>938</v>
      </c>
      <c r="AA1009" s="111"/>
      <c r="AB1009" s="111"/>
      <c r="AC1009" s="111"/>
      <c r="AD1009" s="111"/>
      <c r="AE1009" s="111"/>
      <c r="AF1009" s="111"/>
      <c r="AG1009" s="67"/>
    </row>
    <row r="1010" spans="1:33">
      <c r="A1010" s="134"/>
      <c r="B1010" s="153">
        <v>1</v>
      </c>
      <c r="C1010" s="153"/>
      <c r="D1010" s="245" t="s">
        <v>1527</v>
      </c>
      <c r="E1010" s="153" t="s">
        <v>1182</v>
      </c>
      <c r="F1010" s="164">
        <v>62</v>
      </c>
      <c r="G1010" s="194">
        <f>'Assumptions HR_AUN'!E4</f>
        <v>11889</v>
      </c>
      <c r="H1010" s="164">
        <f t="shared" ref="H1010:H1016" si="965">$F1010*G1010</f>
        <v>737118</v>
      </c>
      <c r="I1010" s="111"/>
      <c r="J1010" s="151"/>
      <c r="K1010" s="111"/>
      <c r="L1010" s="111"/>
      <c r="M1010" s="111"/>
      <c r="N1010" s="111"/>
      <c r="O1010" s="111"/>
      <c r="P1010" s="111"/>
      <c r="Q1010" s="111"/>
      <c r="R1010" s="111"/>
      <c r="S1010" s="712"/>
      <c r="T1010" s="169" t="s">
        <v>946</v>
      </c>
      <c r="U1010" s="169" t="s">
        <v>946</v>
      </c>
      <c r="V1010" s="121" t="s">
        <v>848</v>
      </c>
      <c r="W1010" s="164" t="s">
        <v>947</v>
      </c>
      <c r="X1010" s="170">
        <f>'Assumptions TRC_AUN'!$E$33</f>
        <v>3334</v>
      </c>
      <c r="Y1010" s="200">
        <f t="shared" ref="Y1010:Y1018" si="966">Z1010/X1010</f>
        <v>221.09118176364728</v>
      </c>
      <c r="Z1010" s="167">
        <f t="shared" ref="Z1010:Z1018" si="967">H1010</f>
        <v>737118</v>
      </c>
      <c r="AA1010" s="111"/>
      <c r="AB1010" s="111"/>
      <c r="AC1010" s="111"/>
      <c r="AD1010" s="111"/>
      <c r="AE1010" s="111"/>
      <c r="AF1010" s="111"/>
      <c r="AG1010" s="67"/>
    </row>
    <row r="1011" spans="1:33">
      <c r="A1011" s="134"/>
      <c r="B1011" s="153">
        <v>2</v>
      </c>
      <c r="C1011" s="153"/>
      <c r="D1011" s="245" t="s">
        <v>1528</v>
      </c>
      <c r="E1011" s="153" t="s">
        <v>949</v>
      </c>
      <c r="F1011" s="164">
        <v>2</v>
      </c>
      <c r="G1011" s="164">
        <f>'Assumptions TRC_AUN'!$J$71</f>
        <v>52696.125</v>
      </c>
      <c r="H1011" s="164">
        <f t="shared" si="965"/>
        <v>105392.25</v>
      </c>
      <c r="I1011" s="111"/>
      <c r="J1011" s="151"/>
      <c r="K1011" s="111"/>
      <c r="L1011" s="111"/>
      <c r="M1011" s="111"/>
      <c r="N1011" s="111"/>
      <c r="O1011" s="111"/>
      <c r="P1011" s="111"/>
      <c r="Q1011" s="111"/>
      <c r="R1011" s="111"/>
      <c r="S1011" s="712"/>
      <c r="T1011" s="169" t="s">
        <v>946</v>
      </c>
      <c r="U1011" s="169" t="s">
        <v>946</v>
      </c>
      <c r="V1011" s="121" t="s">
        <v>950</v>
      </c>
      <c r="W1011" s="121" t="s">
        <v>951</v>
      </c>
      <c r="X1011" s="170">
        <f>'Assumptions TRC_AUN'!$J$72</f>
        <v>878.26874999999995</v>
      </c>
      <c r="Y1011" s="200">
        <f t="shared" si="966"/>
        <v>120</v>
      </c>
      <c r="Z1011" s="167">
        <f t="shared" si="967"/>
        <v>105392.25</v>
      </c>
      <c r="AA1011" s="111"/>
      <c r="AB1011" s="111"/>
      <c r="AC1011" s="111"/>
      <c r="AD1011" s="111"/>
      <c r="AE1011" s="111"/>
      <c r="AF1011" s="111"/>
      <c r="AG1011" s="67"/>
    </row>
    <row r="1012" spans="1:33">
      <c r="A1012" s="134"/>
      <c r="B1012" s="153">
        <v>3</v>
      </c>
      <c r="C1012" s="153"/>
      <c r="D1012" s="245" t="s">
        <v>1529</v>
      </c>
      <c r="E1012" s="153" t="s">
        <v>949</v>
      </c>
      <c r="F1012" s="164">
        <v>1</v>
      </c>
      <c r="G1012" s="164">
        <f>'Assumptions TRC_AUN'!$J$163</f>
        <v>183564.125</v>
      </c>
      <c r="H1012" s="164">
        <f t="shared" si="965"/>
        <v>183564.125</v>
      </c>
      <c r="I1012" s="111"/>
      <c r="J1012" s="151"/>
      <c r="K1012" s="111"/>
      <c r="L1012" s="111"/>
      <c r="M1012" s="111"/>
      <c r="N1012" s="111"/>
      <c r="O1012" s="111"/>
      <c r="P1012" s="111"/>
      <c r="Q1012" s="111"/>
      <c r="R1012" s="111"/>
      <c r="S1012" s="712"/>
      <c r="T1012" s="169" t="s">
        <v>946</v>
      </c>
      <c r="U1012" s="169" t="s">
        <v>946</v>
      </c>
      <c r="V1012" s="121" t="s">
        <v>950</v>
      </c>
      <c r="W1012" s="121" t="s">
        <v>951</v>
      </c>
      <c r="X1012" s="170">
        <f>'Assumptions TRC_AUN'!$J$164</f>
        <v>1019.8006944444445</v>
      </c>
      <c r="Y1012" s="200">
        <f t="shared" si="966"/>
        <v>180</v>
      </c>
      <c r="Z1012" s="167">
        <f t="shared" si="967"/>
        <v>183564.125</v>
      </c>
      <c r="AA1012" s="111"/>
      <c r="AB1012" s="111"/>
      <c r="AC1012" s="111"/>
      <c r="AD1012" s="111"/>
      <c r="AE1012" s="111"/>
      <c r="AF1012" s="111"/>
      <c r="AG1012" s="67"/>
    </row>
    <row r="1013" spans="1:33">
      <c r="A1013" s="134"/>
      <c r="B1013" s="153">
        <v>4</v>
      </c>
      <c r="C1013" s="153"/>
      <c r="D1013" s="245" t="s">
        <v>1530</v>
      </c>
      <c r="E1013" s="153" t="s">
        <v>1191</v>
      </c>
      <c r="F1013" s="164">
        <v>14</v>
      </c>
      <c r="G1013" s="164">
        <f>'Assumptions TRC_AUN'!$I$174</f>
        <v>5745</v>
      </c>
      <c r="H1013" s="164">
        <f t="shared" si="965"/>
        <v>80430</v>
      </c>
      <c r="I1013" s="111"/>
      <c r="J1013" s="151"/>
      <c r="K1013" s="111"/>
      <c r="L1013" s="111"/>
      <c r="M1013" s="111"/>
      <c r="N1013" s="111"/>
      <c r="O1013" s="111"/>
      <c r="P1013" s="111"/>
      <c r="Q1013" s="111"/>
      <c r="R1013" s="111"/>
      <c r="S1013" s="712"/>
      <c r="T1013" s="169" t="s">
        <v>946</v>
      </c>
      <c r="U1013" s="169" t="s">
        <v>946</v>
      </c>
      <c r="V1013" s="121" t="s">
        <v>809</v>
      </c>
      <c r="W1013" s="121" t="s">
        <v>791</v>
      </c>
      <c r="X1013" s="170">
        <f>'Assumptions TRC_AUN'!$I$175</f>
        <v>2872.5</v>
      </c>
      <c r="Y1013" s="200">
        <f t="shared" si="966"/>
        <v>28</v>
      </c>
      <c r="Z1013" s="167">
        <f t="shared" si="967"/>
        <v>80430</v>
      </c>
      <c r="AA1013" s="111"/>
      <c r="AB1013" s="111"/>
      <c r="AC1013" s="111"/>
      <c r="AD1013" s="111"/>
      <c r="AE1013" s="111"/>
      <c r="AF1013" s="111"/>
      <c r="AG1013" s="67"/>
    </row>
    <row r="1014" spans="1:33">
      <c r="A1014" s="134"/>
      <c r="B1014" s="153">
        <v>5</v>
      </c>
      <c r="C1014" s="153"/>
      <c r="D1014" s="245" t="s">
        <v>1531</v>
      </c>
      <c r="E1014" s="153" t="s">
        <v>949</v>
      </c>
      <c r="F1014" s="164">
        <v>1</v>
      </c>
      <c r="G1014" s="164">
        <f>'Assumptions TRC_AUN'!$J$90</f>
        <v>10982.125</v>
      </c>
      <c r="H1014" s="164">
        <f t="shared" si="965"/>
        <v>10982.125</v>
      </c>
      <c r="I1014" s="111"/>
      <c r="J1014" s="151"/>
      <c r="K1014" s="111"/>
      <c r="L1014" s="111"/>
      <c r="M1014" s="111"/>
      <c r="N1014" s="111"/>
      <c r="O1014" s="111"/>
      <c r="P1014" s="111"/>
      <c r="Q1014" s="111"/>
      <c r="R1014" s="111"/>
      <c r="S1014" s="712"/>
      <c r="T1014" s="169" t="s">
        <v>946</v>
      </c>
      <c r="U1014" s="169" t="s">
        <v>946</v>
      </c>
      <c r="V1014" s="121" t="s">
        <v>813</v>
      </c>
      <c r="W1014" s="121" t="s">
        <v>1094</v>
      </c>
      <c r="X1014" s="170">
        <f>'Assumptions TRC_AUN'!$J$91</f>
        <v>549.10625000000005</v>
      </c>
      <c r="Y1014" s="200">
        <f t="shared" si="966"/>
        <v>20</v>
      </c>
      <c r="Z1014" s="167">
        <f t="shared" si="967"/>
        <v>10982.125</v>
      </c>
      <c r="AA1014" s="111"/>
      <c r="AB1014" s="111"/>
      <c r="AC1014" s="111"/>
      <c r="AD1014" s="111"/>
      <c r="AE1014" s="111"/>
      <c r="AF1014" s="111"/>
      <c r="AG1014" s="67"/>
    </row>
    <row r="1015" spans="1:33">
      <c r="A1015" s="134"/>
      <c r="B1015" s="153">
        <v>6</v>
      </c>
      <c r="C1015" s="153"/>
      <c r="D1015" s="245" t="s">
        <v>1532</v>
      </c>
      <c r="E1015" s="153" t="s">
        <v>1191</v>
      </c>
      <c r="F1015" s="164">
        <v>2</v>
      </c>
      <c r="G1015" s="164">
        <f>'Assumptions TRC_AUN'!$I$211</f>
        <v>51565</v>
      </c>
      <c r="H1015" s="164">
        <f t="shared" si="965"/>
        <v>103130</v>
      </c>
      <c r="I1015" s="111"/>
      <c r="J1015" s="151"/>
      <c r="K1015" s="111"/>
      <c r="L1015" s="111"/>
      <c r="M1015" s="111"/>
      <c r="N1015" s="111"/>
      <c r="O1015" s="111"/>
      <c r="P1015" s="111"/>
      <c r="Q1015" s="111"/>
      <c r="R1015" s="111"/>
      <c r="S1015" s="712"/>
      <c r="T1015" s="169" t="s">
        <v>946</v>
      </c>
      <c r="U1015" s="169" t="s">
        <v>946</v>
      </c>
      <c r="V1015" s="121" t="s">
        <v>809</v>
      </c>
      <c r="W1015" s="121" t="s">
        <v>791</v>
      </c>
      <c r="X1015" s="170">
        <f>'Assumptions TRC_AUN'!$I$212</f>
        <v>10313</v>
      </c>
      <c r="Y1015" s="200">
        <f t="shared" si="966"/>
        <v>10</v>
      </c>
      <c r="Z1015" s="167">
        <f t="shared" si="967"/>
        <v>103130</v>
      </c>
      <c r="AA1015" s="111"/>
      <c r="AB1015" s="111"/>
      <c r="AC1015" s="111"/>
      <c r="AD1015" s="111"/>
      <c r="AE1015" s="111"/>
      <c r="AF1015" s="111"/>
      <c r="AG1015" s="67"/>
    </row>
    <row r="1016" spans="1:33">
      <c r="A1016" s="134"/>
      <c r="B1016" s="153">
        <v>7</v>
      </c>
      <c r="C1016" s="153"/>
      <c r="D1016" s="245" t="s">
        <v>1533</v>
      </c>
      <c r="E1016" s="153" t="s">
        <v>949</v>
      </c>
      <c r="F1016" s="164">
        <v>1</v>
      </c>
      <c r="G1016" s="164">
        <f>'Assumptions TRC_AUN'!$J$90</f>
        <v>10982.125</v>
      </c>
      <c r="H1016" s="164">
        <f t="shared" si="965"/>
        <v>10982.125</v>
      </c>
      <c r="I1016" s="111"/>
      <c r="J1016" s="151"/>
      <c r="K1016" s="111"/>
      <c r="L1016" s="111"/>
      <c r="M1016" s="111"/>
      <c r="N1016" s="111"/>
      <c r="O1016" s="111"/>
      <c r="P1016" s="111"/>
      <c r="Q1016" s="111"/>
      <c r="R1016" s="111"/>
      <c r="S1016" s="712"/>
      <c r="T1016" s="169" t="s">
        <v>946</v>
      </c>
      <c r="U1016" s="169" t="s">
        <v>946</v>
      </c>
      <c r="V1016" s="121" t="s">
        <v>813</v>
      </c>
      <c r="W1016" s="121" t="s">
        <v>1094</v>
      </c>
      <c r="X1016" s="170">
        <f>'Assumptions TRC_AUN'!$J$91</f>
        <v>549.10625000000005</v>
      </c>
      <c r="Y1016" s="200">
        <f t="shared" si="966"/>
        <v>20</v>
      </c>
      <c r="Z1016" s="167">
        <f t="shared" si="967"/>
        <v>10982.125</v>
      </c>
      <c r="AA1016" s="111"/>
      <c r="AB1016" s="111"/>
      <c r="AC1016" s="111"/>
      <c r="AD1016" s="111"/>
      <c r="AE1016" s="111"/>
      <c r="AF1016" s="111"/>
      <c r="AG1016" s="67"/>
    </row>
    <row r="1017" spans="1:33">
      <c r="A1017" s="134"/>
      <c r="B1017" s="153">
        <v>8</v>
      </c>
      <c r="C1017" s="121" t="s">
        <v>1001</v>
      </c>
      <c r="D1017" s="153"/>
      <c r="E1017" s="153"/>
      <c r="F1017" s="164"/>
      <c r="G1017" s="164"/>
      <c r="H1017" s="164">
        <f>SUM(H1010:H1016)*10%</f>
        <v>123159.8625</v>
      </c>
      <c r="I1017" s="111"/>
      <c r="J1017" s="151"/>
      <c r="K1017" s="111"/>
      <c r="L1017" s="111"/>
      <c r="M1017" s="111"/>
      <c r="N1017" s="111"/>
      <c r="O1017" s="111"/>
      <c r="P1017" s="111"/>
      <c r="Q1017" s="111"/>
      <c r="R1017" s="111"/>
      <c r="S1017" s="712"/>
      <c r="T1017" s="169" t="s">
        <v>946</v>
      </c>
      <c r="U1017" s="169" t="s">
        <v>946</v>
      </c>
      <c r="V1017" s="121" t="s">
        <v>875</v>
      </c>
      <c r="W1017" s="121" t="s">
        <v>961</v>
      </c>
      <c r="X1017" s="170">
        <f>'Assumptions HR_AUN'!$D$4*3</f>
        <v>88211.039066799218</v>
      </c>
      <c r="Y1017" s="200">
        <f t="shared" si="966"/>
        <v>1.3961955760064817</v>
      </c>
      <c r="Z1017" s="167">
        <f t="shared" si="967"/>
        <v>123159.8625</v>
      </c>
      <c r="AA1017" s="111"/>
      <c r="AB1017" s="111"/>
      <c r="AC1017" s="111"/>
      <c r="AD1017" s="111"/>
      <c r="AE1017" s="111"/>
      <c r="AF1017" s="111"/>
      <c r="AG1017" s="67"/>
    </row>
    <row r="1018" spans="1:33">
      <c r="A1018" s="134"/>
      <c r="B1018" s="153">
        <v>9</v>
      </c>
      <c r="C1018" s="121" t="s">
        <v>962</v>
      </c>
      <c r="D1018" s="153"/>
      <c r="E1018" s="153"/>
      <c r="F1018" s="221"/>
      <c r="G1018" s="164"/>
      <c r="H1018" s="164">
        <f>SUM(H1010:H1016)*15%</f>
        <v>184739.79374999998</v>
      </c>
      <c r="I1018" s="111"/>
      <c r="J1018" s="151"/>
      <c r="K1018" s="111"/>
      <c r="L1018" s="111"/>
      <c r="M1018" s="111"/>
      <c r="N1018" s="111"/>
      <c r="O1018" s="111"/>
      <c r="P1018" s="111"/>
      <c r="Q1018" s="111"/>
      <c r="R1018" s="111"/>
      <c r="S1018" s="712"/>
      <c r="T1018" s="169" t="s">
        <v>946</v>
      </c>
      <c r="U1018" s="169" t="s">
        <v>946</v>
      </c>
      <c r="V1018" s="121" t="s">
        <v>881</v>
      </c>
      <c r="W1018" s="121" t="s">
        <v>964</v>
      </c>
      <c r="X1018" s="170">
        <f>H1018/4</f>
        <v>46184.948437499996</v>
      </c>
      <c r="Y1018" s="200">
        <f t="shared" si="966"/>
        <v>4</v>
      </c>
      <c r="Z1018" s="167">
        <f t="shared" si="967"/>
        <v>184739.79374999998</v>
      </c>
      <c r="AA1018" s="111"/>
      <c r="AB1018" s="111"/>
      <c r="AC1018" s="111"/>
      <c r="AD1018" s="111"/>
      <c r="AE1018" s="111"/>
      <c r="AF1018" s="111"/>
      <c r="AG1018" s="67"/>
    </row>
    <row r="1019" spans="1:33">
      <c r="A1019" s="134"/>
      <c r="B1019" s="186"/>
      <c r="C1019" s="186" t="s">
        <v>770</v>
      </c>
      <c r="D1019" s="186"/>
      <c r="E1019" s="186"/>
      <c r="F1019" s="276"/>
      <c r="G1019" s="276"/>
      <c r="H1019" s="276">
        <f>SUM(H1010:H1018)</f>
        <v>1539498.28125</v>
      </c>
      <c r="I1019" s="111"/>
      <c r="J1019" s="111"/>
      <c r="K1019" s="111"/>
      <c r="L1019" s="111"/>
      <c r="M1019" s="111"/>
      <c r="N1019" s="111"/>
      <c r="O1019" s="111"/>
      <c r="P1019" s="111"/>
      <c r="Q1019" s="111"/>
      <c r="R1019" s="111"/>
      <c r="S1019" s="712"/>
      <c r="T1019" s="111"/>
      <c r="U1019" s="111"/>
      <c r="V1019" s="67"/>
      <c r="W1019" s="111"/>
      <c r="X1019" s="132"/>
      <c r="Y1019" s="111"/>
      <c r="Z1019" s="111"/>
      <c r="AA1019" s="111"/>
      <c r="AB1019" s="111"/>
      <c r="AC1019" s="111"/>
      <c r="AD1019" s="111"/>
      <c r="AE1019" s="111"/>
      <c r="AF1019" s="111"/>
      <c r="AG1019" s="67"/>
    </row>
    <row r="1020" spans="1:33">
      <c r="A1020" s="9"/>
      <c r="B1020" s="111"/>
      <c r="C1020" s="111"/>
      <c r="D1020" s="111"/>
      <c r="E1020" s="111"/>
      <c r="F1020" s="111"/>
      <c r="G1020" s="111"/>
      <c r="H1020" s="151"/>
      <c r="I1020" s="151"/>
      <c r="J1020" s="151"/>
      <c r="K1020" s="151"/>
      <c r="L1020" s="111"/>
      <c r="M1020" s="111"/>
      <c r="N1020" s="111"/>
      <c r="O1020" s="111"/>
      <c r="P1020" s="111"/>
      <c r="Q1020" s="111"/>
      <c r="R1020" s="111"/>
      <c r="S1020" s="712"/>
      <c r="T1020" s="111"/>
      <c r="U1020" s="111"/>
      <c r="V1020" s="67"/>
      <c r="W1020" s="111"/>
      <c r="X1020" s="132"/>
      <c r="Y1020" s="111"/>
      <c r="Z1020" s="111"/>
      <c r="AA1020" s="111"/>
      <c r="AB1020" s="111"/>
      <c r="AC1020" s="111"/>
      <c r="AD1020" s="111"/>
      <c r="AE1020" s="111"/>
      <c r="AF1020" s="111"/>
      <c r="AG1020" s="67"/>
    </row>
    <row r="1021" spans="1:33">
      <c r="A1021" s="725">
        <v>57</v>
      </c>
      <c r="B1021" s="726" t="e" vm="1">
        <f>'[2]AUN Budget'!$E$227</f>
        <v>#VALUE!</v>
      </c>
      <c r="C1021" s="731"/>
      <c r="D1021" s="731"/>
      <c r="E1021" s="731"/>
      <c r="F1021" s="731"/>
      <c r="G1021" s="731"/>
      <c r="H1021" s="731"/>
      <c r="I1021" s="111"/>
      <c r="J1021" s="111"/>
      <c r="K1021" s="111"/>
      <c r="L1021" s="111"/>
      <c r="M1021" s="111"/>
      <c r="N1021" s="111"/>
      <c r="O1021" s="111"/>
      <c r="P1021" s="111"/>
      <c r="Q1021" s="111"/>
      <c r="R1021" s="111"/>
      <c r="S1021" s="712"/>
      <c r="T1021" s="111"/>
      <c r="U1021" s="111"/>
      <c r="V1021" s="67"/>
      <c r="W1021" s="111"/>
      <c r="X1021" s="132"/>
      <c r="Y1021" s="111"/>
      <c r="Z1021" s="111"/>
      <c r="AA1021" s="111"/>
      <c r="AB1021" s="111"/>
      <c r="AC1021" s="111"/>
      <c r="AD1021" s="111"/>
      <c r="AE1021" s="111"/>
      <c r="AF1021" s="111"/>
      <c r="AG1021" s="67"/>
    </row>
    <row r="1022" spans="1:33">
      <c r="A1022" s="134" t="s">
        <v>180</v>
      </c>
      <c r="B1022" s="113" t="s">
        <v>755</v>
      </c>
      <c r="C1022" s="113" t="s">
        <v>1304</v>
      </c>
      <c r="D1022" s="113" t="s">
        <v>1305</v>
      </c>
      <c r="E1022" s="113" t="s">
        <v>697</v>
      </c>
      <c r="F1022" s="113" t="s">
        <v>1476</v>
      </c>
      <c r="G1022" s="113" t="s">
        <v>1477</v>
      </c>
      <c r="H1022" s="113" t="s">
        <v>1478</v>
      </c>
      <c r="I1022" s="111"/>
      <c r="J1022" s="111"/>
      <c r="K1022" s="111"/>
      <c r="L1022" s="111"/>
      <c r="M1022" s="111"/>
      <c r="N1022" s="111"/>
      <c r="O1022" s="111"/>
      <c r="P1022" s="111"/>
      <c r="Q1022" s="111"/>
      <c r="R1022" s="111"/>
      <c r="S1022" s="712"/>
      <c r="T1022" s="159" t="s">
        <v>387</v>
      </c>
      <c r="U1022" s="159" t="s">
        <v>388</v>
      </c>
      <c r="V1022" s="160" t="s">
        <v>934</v>
      </c>
      <c r="W1022" s="160" t="s">
        <v>935</v>
      </c>
      <c r="X1022" s="161" t="s">
        <v>936</v>
      </c>
      <c r="Y1022" s="162" t="s">
        <v>937</v>
      </c>
      <c r="Z1022" s="161" t="s">
        <v>938</v>
      </c>
      <c r="AA1022" s="111"/>
      <c r="AB1022" s="111"/>
      <c r="AC1022" s="111"/>
      <c r="AD1022" s="111"/>
      <c r="AE1022" s="111"/>
      <c r="AF1022" s="111"/>
      <c r="AG1022" s="67"/>
    </row>
    <row r="1023" spans="1:33">
      <c r="A1023" s="134"/>
      <c r="B1023" s="153">
        <v>1</v>
      </c>
      <c r="C1023" s="153"/>
      <c r="D1023" s="245" t="s">
        <v>1534</v>
      </c>
      <c r="E1023" s="153" t="s">
        <v>1182</v>
      </c>
      <c r="F1023" s="164">
        <f>14*12</f>
        <v>168</v>
      </c>
      <c r="G1023" s="194">
        <f>'Assumptions HR_AUN'!$E$4</f>
        <v>11889</v>
      </c>
      <c r="H1023" s="164">
        <f t="shared" ref="H1023:H1027" si="968">$F1023*G1023</f>
        <v>1997352</v>
      </c>
      <c r="I1023" s="111"/>
      <c r="J1023" s="151"/>
      <c r="K1023" s="111"/>
      <c r="L1023" s="111"/>
      <c r="M1023" s="111"/>
      <c r="N1023" s="111"/>
      <c r="O1023" s="111"/>
      <c r="P1023" s="111"/>
      <c r="Q1023" s="111"/>
      <c r="R1023" s="111"/>
      <c r="S1023" s="712"/>
      <c r="T1023" s="169" t="s">
        <v>946</v>
      </c>
      <c r="U1023" s="169" t="s">
        <v>946</v>
      </c>
      <c r="V1023" s="121" t="s">
        <v>848</v>
      </c>
      <c r="W1023" s="164" t="s">
        <v>947</v>
      </c>
      <c r="X1023" s="170">
        <f>'Assumptions TRC_AUN'!$E$33</f>
        <v>3334</v>
      </c>
      <c r="Y1023" s="200">
        <f t="shared" ref="Y1023:Y1029" si="969">Z1023/X1023</f>
        <v>599.08578284343128</v>
      </c>
      <c r="Z1023" s="167">
        <f t="shared" ref="Z1023:Z1029" si="970">H1023</f>
        <v>1997352</v>
      </c>
      <c r="AA1023" s="111"/>
      <c r="AB1023" s="111"/>
      <c r="AC1023" s="111"/>
      <c r="AD1023" s="111"/>
      <c r="AE1023" s="111"/>
      <c r="AF1023" s="111"/>
      <c r="AG1023" s="67"/>
    </row>
    <row r="1024" spans="1:33">
      <c r="A1024" s="134"/>
      <c r="B1024" s="153">
        <v>2</v>
      </c>
      <c r="C1024" s="153"/>
      <c r="D1024" s="245" t="s">
        <v>1535</v>
      </c>
      <c r="E1024" s="153" t="s">
        <v>949</v>
      </c>
      <c r="F1024" s="164">
        <v>2</v>
      </c>
      <c r="G1024" s="164">
        <f>'Assumptions TRC_AUN'!$J$71</f>
        <v>52696.125</v>
      </c>
      <c r="H1024" s="164">
        <f t="shared" si="968"/>
        <v>105392.25</v>
      </c>
      <c r="I1024" s="111"/>
      <c r="J1024" s="151"/>
      <c r="K1024" s="111"/>
      <c r="L1024" s="111"/>
      <c r="M1024" s="111"/>
      <c r="N1024" s="111"/>
      <c r="O1024" s="111"/>
      <c r="P1024" s="111"/>
      <c r="Q1024" s="111"/>
      <c r="R1024" s="111"/>
      <c r="S1024" s="712"/>
      <c r="T1024" s="169" t="s">
        <v>946</v>
      </c>
      <c r="U1024" s="169" t="s">
        <v>946</v>
      </c>
      <c r="V1024" s="121" t="s">
        <v>950</v>
      </c>
      <c r="W1024" s="121" t="s">
        <v>951</v>
      </c>
      <c r="X1024" s="170">
        <f>'Assumptions TRC_AUN'!$J$72</f>
        <v>878.26874999999995</v>
      </c>
      <c r="Y1024" s="200">
        <f t="shared" si="969"/>
        <v>120</v>
      </c>
      <c r="Z1024" s="167">
        <f t="shared" si="970"/>
        <v>105392.25</v>
      </c>
      <c r="AA1024" s="111"/>
      <c r="AB1024" s="111"/>
      <c r="AC1024" s="111"/>
      <c r="AD1024" s="111"/>
      <c r="AE1024" s="111"/>
      <c r="AF1024" s="111"/>
      <c r="AG1024" s="67"/>
    </row>
    <row r="1025" spans="1:33">
      <c r="A1025" s="134"/>
      <c r="B1025" s="153">
        <v>3</v>
      </c>
      <c r="C1025" s="153"/>
      <c r="D1025" s="245" t="s">
        <v>1536</v>
      </c>
      <c r="E1025" s="153" t="s">
        <v>949</v>
      </c>
      <c r="F1025" s="164">
        <v>1</v>
      </c>
      <c r="G1025" s="164">
        <f>'Assumptions TRC_AUN'!$J$163</f>
        <v>183564.125</v>
      </c>
      <c r="H1025" s="164">
        <f t="shared" si="968"/>
        <v>183564.125</v>
      </c>
      <c r="I1025" s="111"/>
      <c r="J1025" s="151"/>
      <c r="K1025" s="111"/>
      <c r="L1025" s="111"/>
      <c r="M1025" s="111"/>
      <c r="N1025" s="111"/>
      <c r="O1025" s="111"/>
      <c r="P1025" s="111"/>
      <c r="Q1025" s="111"/>
      <c r="R1025" s="111"/>
      <c r="S1025" s="712"/>
      <c r="T1025" s="169" t="s">
        <v>946</v>
      </c>
      <c r="U1025" s="169" t="s">
        <v>946</v>
      </c>
      <c r="V1025" s="121" t="s">
        <v>950</v>
      </c>
      <c r="W1025" s="121" t="s">
        <v>951</v>
      </c>
      <c r="X1025" s="170">
        <f>'Assumptions TRC_AUN'!$J$164</f>
        <v>1019.8006944444445</v>
      </c>
      <c r="Y1025" s="200">
        <f t="shared" si="969"/>
        <v>180</v>
      </c>
      <c r="Z1025" s="167">
        <f t="shared" si="970"/>
        <v>183564.125</v>
      </c>
      <c r="AA1025" s="111"/>
      <c r="AB1025" s="111"/>
      <c r="AC1025" s="111"/>
      <c r="AD1025" s="111"/>
      <c r="AE1025" s="111"/>
      <c r="AF1025" s="111"/>
      <c r="AG1025" s="67"/>
    </row>
    <row r="1026" spans="1:33">
      <c r="A1026" s="134"/>
      <c r="B1026" s="153">
        <v>4</v>
      </c>
      <c r="C1026" s="153"/>
      <c r="D1026" s="245" t="s">
        <v>1537</v>
      </c>
      <c r="E1026" s="153" t="s">
        <v>1182</v>
      </c>
      <c r="F1026" s="164">
        <v>12</v>
      </c>
      <c r="G1026" s="194">
        <f>'Assumptions HR_AUN'!$E$5</f>
        <v>25194</v>
      </c>
      <c r="H1026" s="164">
        <f t="shared" si="968"/>
        <v>302328</v>
      </c>
      <c r="I1026" s="111"/>
      <c r="J1026" s="151"/>
      <c r="K1026" s="111"/>
      <c r="L1026" s="111"/>
      <c r="M1026" s="111"/>
      <c r="N1026" s="111"/>
      <c r="O1026" s="111"/>
      <c r="P1026" s="111"/>
      <c r="Q1026" s="111"/>
      <c r="R1026" s="111"/>
      <c r="S1026" s="712"/>
      <c r="T1026" s="169" t="s">
        <v>946</v>
      </c>
      <c r="U1026" s="169" t="s">
        <v>946</v>
      </c>
      <c r="V1026" s="121" t="s">
        <v>848</v>
      </c>
      <c r="W1026" s="164" t="s">
        <v>947</v>
      </c>
      <c r="X1026" s="170">
        <f>'Assumptions TRC_AUN'!$E$33</f>
        <v>3334</v>
      </c>
      <c r="Y1026" s="200">
        <f t="shared" si="969"/>
        <v>90.680263947210562</v>
      </c>
      <c r="Z1026" s="167">
        <f t="shared" si="970"/>
        <v>302328</v>
      </c>
      <c r="AA1026" s="111"/>
      <c r="AB1026" s="111"/>
      <c r="AC1026" s="111"/>
      <c r="AD1026" s="111"/>
      <c r="AE1026" s="111"/>
      <c r="AF1026" s="111"/>
      <c r="AG1026" s="67"/>
    </row>
    <row r="1027" spans="1:33">
      <c r="A1027" s="134"/>
      <c r="B1027" s="153">
        <v>5</v>
      </c>
      <c r="C1027" s="153"/>
      <c r="D1027" s="245" t="s">
        <v>1538</v>
      </c>
      <c r="E1027" s="153" t="s">
        <v>1182</v>
      </c>
      <c r="F1027" s="164">
        <v>1</v>
      </c>
      <c r="G1027" s="194">
        <f>'Assumptions HR_AUN'!$E$3</f>
        <v>38383</v>
      </c>
      <c r="H1027" s="164">
        <f t="shared" si="968"/>
        <v>38383</v>
      </c>
      <c r="I1027" s="111"/>
      <c r="J1027" s="151"/>
      <c r="K1027" s="111"/>
      <c r="L1027" s="111"/>
      <c r="M1027" s="111"/>
      <c r="N1027" s="111"/>
      <c r="O1027" s="111"/>
      <c r="P1027" s="111"/>
      <c r="Q1027" s="111"/>
      <c r="R1027" s="111"/>
      <c r="S1027" s="712"/>
      <c r="T1027" s="169" t="s">
        <v>946</v>
      </c>
      <c r="U1027" s="169" t="s">
        <v>946</v>
      </c>
      <c r="V1027" s="121" t="s">
        <v>848</v>
      </c>
      <c r="W1027" s="164" t="s">
        <v>947</v>
      </c>
      <c r="X1027" s="170">
        <f>'Assumptions TRC_AUN'!$E$33</f>
        <v>3334</v>
      </c>
      <c r="Y1027" s="200">
        <f t="shared" si="969"/>
        <v>11.512597480503899</v>
      </c>
      <c r="Z1027" s="167">
        <f t="shared" si="970"/>
        <v>38383</v>
      </c>
      <c r="AA1027" s="111"/>
      <c r="AB1027" s="111"/>
      <c r="AC1027" s="111"/>
      <c r="AD1027" s="111"/>
      <c r="AE1027" s="111"/>
      <c r="AF1027" s="111"/>
      <c r="AG1027" s="67"/>
    </row>
    <row r="1028" spans="1:33">
      <c r="A1028" s="134"/>
      <c r="B1028" s="153">
        <v>6</v>
      </c>
      <c r="C1028" s="121" t="s">
        <v>1001</v>
      </c>
      <c r="D1028" s="153"/>
      <c r="E1028" s="153"/>
      <c r="F1028" s="164"/>
      <c r="G1028" s="164"/>
      <c r="H1028" s="164">
        <f>SUM(H1023:H1027)*10%</f>
        <v>262701.9375</v>
      </c>
      <c r="I1028" s="111"/>
      <c r="J1028" s="151"/>
      <c r="K1028" s="111"/>
      <c r="L1028" s="111"/>
      <c r="M1028" s="111"/>
      <c r="N1028" s="111"/>
      <c r="O1028" s="111"/>
      <c r="P1028" s="111"/>
      <c r="Q1028" s="111"/>
      <c r="R1028" s="111"/>
      <c r="S1028" s="712"/>
      <c r="T1028" s="169" t="s">
        <v>946</v>
      </c>
      <c r="U1028" s="169" t="s">
        <v>946</v>
      </c>
      <c r="V1028" s="121" t="s">
        <v>875</v>
      </c>
      <c r="W1028" s="121" t="s">
        <v>961</v>
      </c>
      <c r="X1028" s="170">
        <f>'Assumptions HR_AUN'!$D$4*3</f>
        <v>88211.039066799218</v>
      </c>
      <c r="Y1028" s="200">
        <f t="shared" si="969"/>
        <v>2.9781072786260321</v>
      </c>
      <c r="Z1028" s="167">
        <f t="shared" si="970"/>
        <v>262701.9375</v>
      </c>
      <c r="AA1028" s="111"/>
      <c r="AB1028" s="111"/>
      <c r="AC1028" s="111"/>
      <c r="AD1028" s="111"/>
      <c r="AE1028" s="111"/>
      <c r="AF1028" s="111"/>
      <c r="AG1028" s="67"/>
    </row>
    <row r="1029" spans="1:33">
      <c r="A1029" s="134"/>
      <c r="B1029" s="153">
        <v>7</v>
      </c>
      <c r="C1029" s="121" t="s">
        <v>962</v>
      </c>
      <c r="D1029" s="153"/>
      <c r="E1029" s="153"/>
      <c r="F1029" s="164"/>
      <c r="G1029" s="164"/>
      <c r="H1029" s="164">
        <f>SUM(H1023:H1027)*15%</f>
        <v>394052.90625</v>
      </c>
      <c r="I1029" s="111"/>
      <c r="J1029" s="151"/>
      <c r="K1029" s="111"/>
      <c r="L1029" s="111"/>
      <c r="M1029" s="111"/>
      <c r="N1029" s="111"/>
      <c r="O1029" s="111"/>
      <c r="P1029" s="111"/>
      <c r="Q1029" s="111"/>
      <c r="R1029" s="111"/>
      <c r="S1029" s="712"/>
      <c r="T1029" s="169" t="s">
        <v>946</v>
      </c>
      <c r="U1029" s="169" t="s">
        <v>946</v>
      </c>
      <c r="V1029" s="121" t="s">
        <v>881</v>
      </c>
      <c r="W1029" s="121" t="s">
        <v>964</v>
      </c>
      <c r="X1029" s="170">
        <f>H1029/4</f>
        <v>98513.2265625</v>
      </c>
      <c r="Y1029" s="200">
        <f t="shared" si="969"/>
        <v>4</v>
      </c>
      <c r="Z1029" s="167">
        <f t="shared" si="970"/>
        <v>394052.90625</v>
      </c>
      <c r="AA1029" s="111"/>
      <c r="AB1029" s="111"/>
      <c r="AC1029" s="111"/>
      <c r="AD1029" s="111"/>
      <c r="AE1029" s="111"/>
      <c r="AF1029" s="111"/>
      <c r="AG1029" s="67"/>
    </row>
    <row r="1030" spans="1:33">
      <c r="A1030" s="134"/>
      <c r="B1030" s="186"/>
      <c r="C1030" s="186" t="s">
        <v>770</v>
      </c>
      <c r="D1030" s="186"/>
      <c r="E1030" s="186"/>
      <c r="F1030" s="276"/>
      <c r="G1030" s="276"/>
      <c r="H1030" s="276">
        <f>SUM(H1023:H1029)</f>
        <v>3283774.21875</v>
      </c>
      <c r="I1030" s="111"/>
      <c r="J1030" s="111"/>
      <c r="K1030" s="111"/>
      <c r="L1030" s="111"/>
      <c r="M1030" s="111"/>
      <c r="N1030" s="111"/>
      <c r="O1030" s="111"/>
      <c r="P1030" s="111"/>
      <c r="Q1030" s="111"/>
      <c r="R1030" s="111"/>
      <c r="S1030" s="712"/>
      <c r="T1030" s="111"/>
      <c r="U1030" s="111"/>
      <c r="V1030" s="67"/>
      <c r="W1030" s="111"/>
      <c r="X1030" s="132"/>
      <c r="Y1030" s="111"/>
      <c r="Z1030" s="111"/>
      <c r="AA1030" s="111"/>
      <c r="AB1030" s="111"/>
      <c r="AC1030" s="111"/>
      <c r="AD1030" s="111"/>
      <c r="AE1030" s="111"/>
      <c r="AF1030" s="111"/>
      <c r="AG1030" s="67"/>
    </row>
    <row r="1031" spans="1:33">
      <c r="A1031" s="9"/>
      <c r="B1031" s="111"/>
      <c r="C1031" s="111"/>
      <c r="D1031" s="111"/>
      <c r="E1031" s="111"/>
      <c r="F1031" s="111"/>
      <c r="G1031" s="111"/>
      <c r="H1031" s="151"/>
      <c r="I1031" s="132"/>
      <c r="J1031" s="111"/>
      <c r="K1031" s="111"/>
      <c r="L1031" s="111"/>
      <c r="M1031" s="111"/>
      <c r="N1031" s="111"/>
      <c r="O1031" s="111"/>
      <c r="P1031" s="111"/>
      <c r="Q1031" s="111"/>
      <c r="R1031" s="111"/>
      <c r="S1031" s="712"/>
      <c r="T1031" s="111"/>
      <c r="U1031" s="111"/>
      <c r="V1031" s="67"/>
      <c r="W1031" s="111"/>
      <c r="X1031" s="111"/>
      <c r="Y1031" s="111"/>
      <c r="Z1031" s="111"/>
      <c r="AA1031" s="111"/>
      <c r="AB1031" s="111"/>
      <c r="AC1031" s="111"/>
      <c r="AD1031" s="111"/>
      <c r="AE1031" s="111"/>
      <c r="AF1031" s="111"/>
      <c r="AG1031" s="67"/>
    </row>
    <row r="1032" spans="1:33">
      <c r="A1032" s="725">
        <v>58</v>
      </c>
      <c r="B1032" s="726" t="e" vm="1">
        <f>'[2]AUN Budget'!$E$231</f>
        <v>#VALUE!</v>
      </c>
      <c r="C1032" s="731"/>
      <c r="D1032" s="731"/>
      <c r="E1032" s="731"/>
      <c r="F1032" s="731"/>
      <c r="G1032" s="731"/>
      <c r="H1032" s="731"/>
      <c r="I1032" s="111"/>
      <c r="J1032" s="111"/>
      <c r="K1032" s="111"/>
      <c r="L1032" s="111"/>
      <c r="M1032" s="111"/>
      <c r="N1032" s="111"/>
      <c r="O1032" s="111"/>
      <c r="P1032" s="111"/>
      <c r="Q1032" s="111"/>
      <c r="R1032" s="111"/>
      <c r="S1032" s="712"/>
      <c r="T1032" s="111"/>
      <c r="U1032" s="111"/>
      <c r="V1032" s="67"/>
      <c r="W1032" s="111"/>
      <c r="X1032" s="132"/>
      <c r="Y1032" s="111"/>
      <c r="Z1032" s="111"/>
      <c r="AA1032" s="111"/>
      <c r="AB1032" s="111"/>
      <c r="AC1032" s="111"/>
      <c r="AD1032" s="111"/>
      <c r="AE1032" s="111"/>
      <c r="AF1032" s="111"/>
      <c r="AG1032" s="67"/>
    </row>
    <row r="1033" spans="1:33">
      <c r="A1033" s="134" t="s">
        <v>161</v>
      </c>
      <c r="B1033" s="113" t="s">
        <v>755</v>
      </c>
      <c r="C1033" s="113" t="s">
        <v>1304</v>
      </c>
      <c r="D1033" s="113" t="s">
        <v>1305</v>
      </c>
      <c r="E1033" s="113" t="s">
        <v>697</v>
      </c>
      <c r="F1033" s="113" t="s">
        <v>1476</v>
      </c>
      <c r="G1033" s="113" t="s">
        <v>1477</v>
      </c>
      <c r="H1033" s="113" t="s">
        <v>1478</v>
      </c>
      <c r="I1033" s="111"/>
      <c r="J1033" s="111"/>
      <c r="K1033" s="111"/>
      <c r="L1033" s="111"/>
      <c r="M1033" s="111"/>
      <c r="N1033" s="111"/>
      <c r="O1033" s="111"/>
      <c r="P1033" s="111"/>
      <c r="Q1033" s="111"/>
      <c r="R1033" s="111"/>
      <c r="S1033" s="712"/>
      <c r="T1033" s="159" t="s">
        <v>387</v>
      </c>
      <c r="U1033" s="159" t="s">
        <v>388</v>
      </c>
      <c r="V1033" s="160" t="s">
        <v>934</v>
      </c>
      <c r="W1033" s="160" t="s">
        <v>935</v>
      </c>
      <c r="X1033" s="161" t="s">
        <v>936</v>
      </c>
      <c r="Y1033" s="162" t="s">
        <v>937</v>
      </c>
      <c r="Z1033" s="161" t="s">
        <v>938</v>
      </c>
      <c r="AA1033" s="111"/>
      <c r="AB1033" s="111"/>
      <c r="AC1033" s="111"/>
      <c r="AD1033" s="111"/>
      <c r="AE1033" s="111"/>
      <c r="AF1033" s="111"/>
      <c r="AG1033" s="67"/>
    </row>
    <row r="1034" spans="1:33">
      <c r="A1034" s="134"/>
      <c r="B1034" s="153">
        <v>1</v>
      </c>
      <c r="C1034" s="153"/>
      <c r="D1034" s="245"/>
      <c r="E1034" s="153"/>
      <c r="F1034" s="164"/>
      <c r="G1034" s="194"/>
      <c r="H1034" s="164"/>
      <c r="I1034" s="111"/>
      <c r="J1034" s="151"/>
      <c r="K1034" s="111"/>
      <c r="L1034" s="111"/>
      <c r="M1034" s="111"/>
      <c r="N1034" s="111"/>
      <c r="O1034" s="111"/>
      <c r="P1034" s="111"/>
      <c r="Q1034" s="111"/>
      <c r="R1034" s="111"/>
      <c r="S1034" s="712"/>
      <c r="T1034" s="169" t="s">
        <v>946</v>
      </c>
      <c r="U1034" s="169" t="s">
        <v>946</v>
      </c>
      <c r="V1034" s="121" t="s">
        <v>848</v>
      </c>
      <c r="W1034" s="164" t="s">
        <v>947</v>
      </c>
      <c r="X1034" s="170">
        <f>'Assumptions TRC_AUN'!$E$33</f>
        <v>3334</v>
      </c>
      <c r="Y1034" s="200">
        <f t="shared" ref="Y1034:Y1042" si="971">Z1034/X1034</f>
        <v>0</v>
      </c>
      <c r="Z1034" s="167">
        <f t="shared" ref="Z1034:Z1042" si="972">H1034</f>
        <v>0</v>
      </c>
      <c r="AA1034" s="111"/>
      <c r="AB1034" s="111"/>
      <c r="AC1034" s="111"/>
      <c r="AD1034" s="111"/>
      <c r="AE1034" s="111"/>
      <c r="AF1034" s="111"/>
      <c r="AG1034" s="67"/>
    </row>
    <row r="1035" spans="1:33">
      <c r="A1035" s="134"/>
      <c r="B1035" s="153">
        <v>2</v>
      </c>
      <c r="C1035" s="153"/>
      <c r="D1035" s="245" t="s">
        <v>1539</v>
      </c>
      <c r="E1035" s="153" t="s">
        <v>1182</v>
      </c>
      <c r="F1035" s="164">
        <v>15</v>
      </c>
      <c r="G1035" s="194">
        <f>'Assumptions HR_AUN'!$E$4</f>
        <v>11889</v>
      </c>
      <c r="H1035" s="164">
        <f t="shared" ref="H1035:H1040" si="973">$F1035*G1035</f>
        <v>178335</v>
      </c>
      <c r="I1035" s="111"/>
      <c r="J1035" s="151"/>
      <c r="K1035" s="111"/>
      <c r="L1035" s="111"/>
      <c r="M1035" s="111"/>
      <c r="N1035" s="111"/>
      <c r="O1035" s="111"/>
      <c r="P1035" s="111"/>
      <c r="Q1035" s="111"/>
      <c r="R1035" s="111"/>
      <c r="S1035" s="712"/>
      <c r="T1035" s="169" t="s">
        <v>946</v>
      </c>
      <c r="U1035" s="169" t="s">
        <v>946</v>
      </c>
      <c r="V1035" s="121" t="s">
        <v>848</v>
      </c>
      <c r="W1035" s="164" t="s">
        <v>947</v>
      </c>
      <c r="X1035" s="170">
        <f>'Assumptions TRC_AUN'!$E$33</f>
        <v>3334</v>
      </c>
      <c r="Y1035" s="200">
        <f t="shared" si="971"/>
        <v>53.489802039592078</v>
      </c>
      <c r="Z1035" s="167">
        <f t="shared" si="972"/>
        <v>178335</v>
      </c>
      <c r="AA1035" s="132"/>
      <c r="AB1035" s="111"/>
      <c r="AC1035" s="111"/>
      <c r="AD1035" s="111"/>
      <c r="AE1035" s="111"/>
      <c r="AF1035" s="111"/>
      <c r="AG1035" s="67"/>
    </row>
    <row r="1036" spans="1:33">
      <c r="A1036" s="134"/>
      <c r="B1036" s="153">
        <v>3</v>
      </c>
      <c r="C1036" s="153"/>
      <c r="D1036" s="245" t="s">
        <v>1540</v>
      </c>
      <c r="E1036" s="153" t="s">
        <v>1182</v>
      </c>
      <c r="F1036" s="164">
        <v>12</v>
      </c>
      <c r="G1036" s="194">
        <f>'Assumptions HR_AUN'!$E$5</f>
        <v>25194</v>
      </c>
      <c r="H1036" s="164">
        <f t="shared" si="973"/>
        <v>302328</v>
      </c>
      <c r="I1036" s="111"/>
      <c r="J1036" s="151"/>
      <c r="K1036" s="111"/>
      <c r="L1036" s="111"/>
      <c r="M1036" s="111"/>
      <c r="N1036" s="111"/>
      <c r="O1036" s="111"/>
      <c r="P1036" s="111"/>
      <c r="Q1036" s="111"/>
      <c r="R1036" s="111"/>
      <c r="S1036" s="712"/>
      <c r="T1036" s="169" t="s">
        <v>946</v>
      </c>
      <c r="U1036" s="169" t="s">
        <v>946</v>
      </c>
      <c r="V1036" s="121" t="s">
        <v>848</v>
      </c>
      <c r="W1036" s="164" t="s">
        <v>947</v>
      </c>
      <c r="X1036" s="170">
        <f>'Assumptions TRC_AUN'!$E$33</f>
        <v>3334</v>
      </c>
      <c r="Y1036" s="200">
        <f t="shared" si="971"/>
        <v>90.680263947210562</v>
      </c>
      <c r="Z1036" s="167">
        <f t="shared" si="972"/>
        <v>302328</v>
      </c>
      <c r="AA1036" s="132"/>
      <c r="AB1036" s="111"/>
      <c r="AC1036" s="111"/>
      <c r="AD1036" s="111"/>
      <c r="AE1036" s="111"/>
      <c r="AF1036" s="111"/>
      <c r="AG1036" s="67"/>
    </row>
    <row r="1037" spans="1:33">
      <c r="A1037" s="134"/>
      <c r="B1037" s="153">
        <v>4</v>
      </c>
      <c r="C1037" s="153"/>
      <c r="D1037" s="245" t="s">
        <v>1541</v>
      </c>
      <c r="E1037" s="153" t="s">
        <v>1191</v>
      </c>
      <c r="F1037" s="164">
        <v>5</v>
      </c>
      <c r="G1037" s="164">
        <f>'Assumptions TRC_AUN'!$I$174</f>
        <v>5745</v>
      </c>
      <c r="H1037" s="164">
        <f t="shared" si="973"/>
        <v>28725</v>
      </c>
      <c r="I1037" s="111"/>
      <c r="J1037" s="151"/>
      <c r="K1037" s="111"/>
      <c r="L1037" s="111"/>
      <c r="M1037" s="111"/>
      <c r="N1037" s="111"/>
      <c r="O1037" s="111"/>
      <c r="P1037" s="111"/>
      <c r="Q1037" s="111"/>
      <c r="R1037" s="111"/>
      <c r="S1037" s="712"/>
      <c r="T1037" s="169" t="s">
        <v>946</v>
      </c>
      <c r="U1037" s="169" t="s">
        <v>946</v>
      </c>
      <c r="V1037" s="121" t="s">
        <v>809</v>
      </c>
      <c r="W1037" s="121" t="s">
        <v>791</v>
      </c>
      <c r="X1037" s="170">
        <f>'Assumptions TRC_AUN'!$I$175</f>
        <v>2872.5</v>
      </c>
      <c r="Y1037" s="200">
        <f t="shared" si="971"/>
        <v>10</v>
      </c>
      <c r="Z1037" s="167">
        <f t="shared" si="972"/>
        <v>28725</v>
      </c>
      <c r="AA1037" s="132"/>
      <c r="AB1037" s="111"/>
      <c r="AC1037" s="111"/>
      <c r="AD1037" s="111"/>
      <c r="AE1037" s="111"/>
      <c r="AF1037" s="111"/>
      <c r="AG1037" s="67"/>
    </row>
    <row r="1038" spans="1:33">
      <c r="A1038" s="134"/>
      <c r="B1038" s="153">
        <v>5</v>
      </c>
      <c r="C1038" s="153"/>
      <c r="D1038" s="245" t="s">
        <v>1542</v>
      </c>
      <c r="E1038" s="153" t="s">
        <v>1182</v>
      </c>
      <c r="F1038" s="164">
        <v>12</v>
      </c>
      <c r="G1038" s="194">
        <f>'Assumptions HR_AUN'!$E$4</f>
        <v>11889</v>
      </c>
      <c r="H1038" s="164">
        <f t="shared" si="973"/>
        <v>142668</v>
      </c>
      <c r="I1038" s="111"/>
      <c r="J1038" s="151"/>
      <c r="K1038" s="111"/>
      <c r="L1038" s="111"/>
      <c r="M1038" s="111"/>
      <c r="N1038" s="111"/>
      <c r="O1038" s="111"/>
      <c r="P1038" s="111"/>
      <c r="Q1038" s="111"/>
      <c r="R1038" s="111"/>
      <c r="S1038" s="712"/>
      <c r="T1038" s="169" t="s">
        <v>946</v>
      </c>
      <c r="U1038" s="169" t="s">
        <v>946</v>
      </c>
      <c r="V1038" s="121" t="s">
        <v>848</v>
      </c>
      <c r="W1038" s="164" t="s">
        <v>947</v>
      </c>
      <c r="X1038" s="170">
        <f>'Assumptions TRC_AUN'!$E$33</f>
        <v>3334</v>
      </c>
      <c r="Y1038" s="200">
        <f t="shared" si="971"/>
        <v>42.791841631673663</v>
      </c>
      <c r="Z1038" s="167">
        <f t="shared" si="972"/>
        <v>142668</v>
      </c>
      <c r="AA1038" s="132"/>
      <c r="AB1038" s="111"/>
      <c r="AC1038" s="111"/>
      <c r="AD1038" s="111"/>
      <c r="AE1038" s="111"/>
      <c r="AF1038" s="111"/>
      <c r="AG1038" s="67"/>
    </row>
    <row r="1039" spans="1:33">
      <c r="A1039" s="134"/>
      <c r="B1039" s="153">
        <v>6</v>
      </c>
      <c r="C1039" s="153"/>
      <c r="D1039" s="245" t="s">
        <v>1543</v>
      </c>
      <c r="E1039" s="153" t="s">
        <v>949</v>
      </c>
      <c r="F1039" s="164">
        <v>1</v>
      </c>
      <c r="G1039" s="164">
        <f>'Assumptions TRC_AUN'!$J$163</f>
        <v>183564.125</v>
      </c>
      <c r="H1039" s="164">
        <f t="shared" si="973"/>
        <v>183564.125</v>
      </c>
      <c r="I1039" s="111"/>
      <c r="J1039" s="151"/>
      <c r="K1039" s="111"/>
      <c r="L1039" s="111"/>
      <c r="M1039" s="111"/>
      <c r="N1039" s="111"/>
      <c r="O1039" s="111"/>
      <c r="P1039" s="111"/>
      <c r="Q1039" s="111"/>
      <c r="R1039" s="111"/>
      <c r="S1039" s="712"/>
      <c r="T1039" s="169" t="s">
        <v>946</v>
      </c>
      <c r="U1039" s="169" t="s">
        <v>946</v>
      </c>
      <c r="V1039" s="121" t="s">
        <v>813</v>
      </c>
      <c r="W1039" s="121" t="s">
        <v>1094</v>
      </c>
      <c r="X1039" s="170">
        <f>'Assumptions TRC_AUN'!$J$164</f>
        <v>1019.8006944444445</v>
      </c>
      <c r="Y1039" s="200">
        <f t="shared" si="971"/>
        <v>180</v>
      </c>
      <c r="Z1039" s="167">
        <f t="shared" si="972"/>
        <v>183564.125</v>
      </c>
      <c r="AA1039" s="132"/>
      <c r="AB1039" s="111"/>
      <c r="AC1039" s="111"/>
      <c r="AD1039" s="111"/>
      <c r="AE1039" s="111"/>
      <c r="AF1039" s="111"/>
      <c r="AG1039" s="67"/>
    </row>
    <row r="1040" spans="1:33">
      <c r="A1040" s="134"/>
      <c r="B1040" s="153">
        <v>7</v>
      </c>
      <c r="C1040" s="153"/>
      <c r="D1040" s="245" t="s">
        <v>1544</v>
      </c>
      <c r="E1040" s="153" t="s">
        <v>949</v>
      </c>
      <c r="F1040" s="164">
        <v>1</v>
      </c>
      <c r="G1040" s="164">
        <f>'Assumptions TRC_AUN'!$J$71</f>
        <v>52696.125</v>
      </c>
      <c r="H1040" s="164">
        <f t="shared" si="973"/>
        <v>52696.125</v>
      </c>
      <c r="I1040" s="111"/>
      <c r="J1040" s="151"/>
      <c r="K1040" s="111"/>
      <c r="L1040" s="111"/>
      <c r="M1040" s="111"/>
      <c r="N1040" s="111"/>
      <c r="O1040" s="111"/>
      <c r="P1040" s="111"/>
      <c r="Q1040" s="111"/>
      <c r="R1040" s="111"/>
      <c r="S1040" s="712"/>
      <c r="T1040" s="169" t="s">
        <v>946</v>
      </c>
      <c r="U1040" s="169" t="s">
        <v>946</v>
      </c>
      <c r="V1040" s="121" t="s">
        <v>813</v>
      </c>
      <c r="W1040" s="121" t="s">
        <v>1094</v>
      </c>
      <c r="X1040" s="170">
        <f>'Assumptions TRC_AUN'!$J$72</f>
        <v>878.26874999999995</v>
      </c>
      <c r="Y1040" s="200">
        <f t="shared" si="971"/>
        <v>60</v>
      </c>
      <c r="Z1040" s="167">
        <f t="shared" si="972"/>
        <v>52696.125</v>
      </c>
      <c r="AA1040" s="132"/>
      <c r="AB1040" s="111"/>
      <c r="AC1040" s="111"/>
      <c r="AD1040" s="111"/>
      <c r="AE1040" s="111"/>
      <c r="AF1040" s="111"/>
      <c r="AG1040" s="67"/>
    </row>
    <row r="1041" spans="1:33">
      <c r="A1041" s="134"/>
      <c r="B1041" s="153">
        <v>8</v>
      </c>
      <c r="C1041" s="121" t="s">
        <v>1001</v>
      </c>
      <c r="D1041" s="153"/>
      <c r="E1041" s="153"/>
      <c r="F1041" s="164"/>
      <c r="G1041" s="164"/>
      <c r="H1041" s="164">
        <f>SUM(H1034:H1040)*10%</f>
        <v>88831.625</v>
      </c>
      <c r="I1041" s="111"/>
      <c r="J1041" s="151"/>
      <c r="K1041" s="111"/>
      <c r="L1041" s="111"/>
      <c r="M1041" s="111"/>
      <c r="N1041" s="111"/>
      <c r="O1041" s="111"/>
      <c r="P1041" s="111"/>
      <c r="Q1041" s="111"/>
      <c r="R1041" s="111"/>
      <c r="S1041" s="712"/>
      <c r="T1041" s="169" t="s">
        <v>946</v>
      </c>
      <c r="U1041" s="169" t="s">
        <v>946</v>
      </c>
      <c r="V1041" s="121" t="s">
        <v>875</v>
      </c>
      <c r="W1041" s="121" t="s">
        <v>961</v>
      </c>
      <c r="X1041" s="170">
        <f>'Assumptions HR_AUN'!$D$4*3</f>
        <v>88211.039066799218</v>
      </c>
      <c r="Y1041" s="200">
        <f t="shared" si="971"/>
        <v>1.0070352411644401</v>
      </c>
      <c r="Z1041" s="167">
        <f t="shared" si="972"/>
        <v>88831.625</v>
      </c>
      <c r="AA1041" s="132"/>
      <c r="AB1041" s="111"/>
      <c r="AC1041" s="111"/>
      <c r="AD1041" s="111"/>
      <c r="AE1041" s="111"/>
      <c r="AF1041" s="111"/>
      <c r="AG1041" s="67"/>
    </row>
    <row r="1042" spans="1:33">
      <c r="A1042" s="134"/>
      <c r="B1042" s="153">
        <v>9</v>
      </c>
      <c r="C1042" s="121" t="s">
        <v>962</v>
      </c>
      <c r="D1042" s="153"/>
      <c r="E1042" s="153"/>
      <c r="F1042" s="221"/>
      <c r="G1042" s="164"/>
      <c r="H1042" s="164">
        <f>SUM(H1034:H1040)*15%</f>
        <v>133247.4375</v>
      </c>
      <c r="I1042" s="111"/>
      <c r="J1042" s="151"/>
      <c r="K1042" s="111"/>
      <c r="L1042" s="111"/>
      <c r="M1042" s="111"/>
      <c r="N1042" s="111"/>
      <c r="O1042" s="111"/>
      <c r="P1042" s="111"/>
      <c r="Q1042" s="111"/>
      <c r="R1042" s="111"/>
      <c r="S1042" s="712"/>
      <c r="T1042" s="169" t="s">
        <v>946</v>
      </c>
      <c r="U1042" s="169" t="s">
        <v>946</v>
      </c>
      <c r="V1042" s="121" t="s">
        <v>881</v>
      </c>
      <c r="W1042" s="121" t="s">
        <v>964</v>
      </c>
      <c r="X1042" s="170">
        <f>H1042/4</f>
        <v>33311.859375</v>
      </c>
      <c r="Y1042" s="200">
        <f t="shared" si="971"/>
        <v>4</v>
      </c>
      <c r="Z1042" s="167">
        <f t="shared" si="972"/>
        <v>133247.4375</v>
      </c>
      <c r="AA1042" s="132"/>
      <c r="AB1042" s="111"/>
      <c r="AC1042" s="111"/>
      <c r="AD1042" s="111"/>
      <c r="AE1042" s="111"/>
      <c r="AF1042" s="111"/>
      <c r="AG1042" s="67"/>
    </row>
    <row r="1043" spans="1:33">
      <c r="A1043" s="134"/>
      <c r="B1043" s="186"/>
      <c r="C1043" s="186" t="s">
        <v>770</v>
      </c>
      <c r="D1043" s="186"/>
      <c r="E1043" s="186"/>
      <c r="F1043" s="276"/>
      <c r="G1043" s="276"/>
      <c r="H1043" s="276">
        <f>SUM(H1034:H1042)</f>
        <v>1110395.3125</v>
      </c>
      <c r="I1043" s="111"/>
      <c r="J1043" s="111"/>
      <c r="K1043" s="111"/>
      <c r="L1043" s="111"/>
      <c r="M1043" s="111"/>
      <c r="N1043" s="111"/>
      <c r="O1043" s="111"/>
      <c r="P1043" s="111"/>
      <c r="Q1043" s="111"/>
      <c r="R1043" s="111"/>
      <c r="S1043" s="712"/>
      <c r="T1043" s="111"/>
      <c r="U1043" s="111"/>
      <c r="V1043" s="67"/>
      <c r="W1043" s="111"/>
      <c r="X1043" s="132"/>
      <c r="Y1043" s="111"/>
      <c r="Z1043" s="111"/>
      <c r="AA1043" s="132"/>
      <c r="AB1043" s="111"/>
      <c r="AC1043" s="111"/>
      <c r="AD1043" s="111"/>
      <c r="AE1043" s="111"/>
      <c r="AF1043" s="111"/>
      <c r="AG1043" s="67"/>
    </row>
    <row r="1044" spans="1:33">
      <c r="A1044" s="9"/>
      <c r="B1044" s="111"/>
      <c r="C1044" s="111"/>
      <c r="D1044" s="111"/>
      <c r="E1044" s="111"/>
      <c r="F1044" s="111"/>
      <c r="G1044" s="111"/>
      <c r="H1044" s="151"/>
      <c r="I1044" s="111"/>
      <c r="J1044" s="111"/>
      <c r="K1044" s="111"/>
      <c r="L1044" s="111"/>
      <c r="M1044" s="111"/>
      <c r="N1044" s="111"/>
      <c r="O1044" s="111"/>
      <c r="P1044" s="111"/>
      <c r="Q1044" s="111"/>
      <c r="R1044" s="111"/>
      <c r="S1044" s="712"/>
      <c r="T1044" s="111"/>
      <c r="U1044" s="111"/>
      <c r="V1044" s="67"/>
      <c r="W1044" s="111"/>
      <c r="X1044" s="111"/>
      <c r="Y1044" s="111"/>
      <c r="Z1044" s="111"/>
      <c r="AA1044" s="111"/>
      <c r="AB1044" s="111"/>
      <c r="AC1044" s="111"/>
      <c r="AD1044" s="111"/>
      <c r="AE1044" s="111"/>
      <c r="AF1044" s="111"/>
      <c r="AG1044" s="67"/>
    </row>
    <row r="1045" spans="1:33">
      <c r="A1045" s="9"/>
      <c r="B1045" s="111"/>
      <c r="C1045" s="111"/>
      <c r="D1045" s="111"/>
      <c r="E1045" s="111"/>
      <c r="F1045" s="111"/>
      <c r="G1045" s="111"/>
      <c r="H1045" s="151"/>
      <c r="I1045" s="111"/>
      <c r="J1045" s="111"/>
      <c r="K1045" s="111"/>
      <c r="L1045" s="111"/>
      <c r="M1045" s="111"/>
      <c r="N1045" s="111"/>
      <c r="O1045" s="111"/>
      <c r="P1045" s="111"/>
      <c r="Q1045" s="111"/>
      <c r="R1045" s="111"/>
      <c r="S1045" s="712"/>
      <c r="T1045" s="111"/>
      <c r="U1045" s="111"/>
      <c r="V1045" s="67"/>
      <c r="W1045" s="111"/>
      <c r="X1045" s="111"/>
      <c r="Y1045" s="111"/>
      <c r="Z1045" s="111"/>
      <c r="AA1045" s="111"/>
      <c r="AB1045" s="111"/>
      <c r="AC1045" s="111"/>
      <c r="AD1045" s="111"/>
      <c r="AE1045" s="111"/>
      <c r="AF1045" s="111"/>
      <c r="AG1045" s="67"/>
    </row>
    <row r="1046" spans="1:33">
      <c r="A1046" s="725">
        <v>59</v>
      </c>
      <c r="B1046" s="726" t="e" vm="1">
        <f>'[2]AUN Budget'!$E$236</f>
        <v>#VALUE!</v>
      </c>
      <c r="C1046" s="731"/>
      <c r="D1046" s="731"/>
      <c r="E1046" s="731"/>
      <c r="F1046" s="731"/>
      <c r="G1046" s="731"/>
      <c r="H1046" s="731"/>
      <c r="I1046" s="111"/>
      <c r="J1046" s="111"/>
      <c r="K1046" s="111"/>
      <c r="L1046" s="111"/>
      <c r="M1046" s="111"/>
      <c r="N1046" s="111"/>
      <c r="O1046" s="111"/>
      <c r="P1046" s="111"/>
      <c r="Q1046" s="111"/>
      <c r="R1046" s="111"/>
      <c r="S1046" s="712"/>
      <c r="T1046" s="111"/>
      <c r="U1046" s="111"/>
      <c r="V1046" s="67"/>
      <c r="W1046" s="111"/>
      <c r="X1046" s="132"/>
      <c r="Y1046" s="111"/>
      <c r="Z1046" s="111"/>
      <c r="AA1046" s="111"/>
      <c r="AB1046" s="111"/>
      <c r="AC1046" s="111"/>
      <c r="AD1046" s="111"/>
      <c r="AE1046" s="111"/>
      <c r="AF1046" s="111"/>
      <c r="AG1046" s="67"/>
    </row>
    <row r="1047" spans="1:33">
      <c r="A1047" s="134" t="s">
        <v>205</v>
      </c>
      <c r="B1047" s="113" t="s">
        <v>755</v>
      </c>
      <c r="C1047" s="113" t="s">
        <v>1304</v>
      </c>
      <c r="D1047" s="113" t="s">
        <v>1305</v>
      </c>
      <c r="E1047" s="113" t="s">
        <v>697</v>
      </c>
      <c r="F1047" s="113" t="s">
        <v>1476</v>
      </c>
      <c r="G1047" s="113" t="s">
        <v>1477</v>
      </c>
      <c r="H1047" s="113" t="s">
        <v>1478</v>
      </c>
      <c r="I1047" s="111"/>
      <c r="J1047" s="111"/>
      <c r="K1047" s="111"/>
      <c r="L1047" s="111"/>
      <c r="M1047" s="111"/>
      <c r="N1047" s="111"/>
      <c r="O1047" s="111"/>
      <c r="P1047" s="111"/>
      <c r="Q1047" s="111"/>
      <c r="R1047" s="111"/>
      <c r="S1047" s="712"/>
      <c r="T1047" s="159" t="s">
        <v>387</v>
      </c>
      <c r="U1047" s="159" t="s">
        <v>388</v>
      </c>
      <c r="V1047" s="160" t="s">
        <v>934</v>
      </c>
      <c r="W1047" s="160" t="s">
        <v>935</v>
      </c>
      <c r="X1047" s="161" t="s">
        <v>936</v>
      </c>
      <c r="Y1047" s="162" t="s">
        <v>937</v>
      </c>
      <c r="Z1047" s="161" t="s">
        <v>938</v>
      </c>
      <c r="AA1047" s="111"/>
      <c r="AB1047" s="111"/>
      <c r="AC1047" s="111"/>
      <c r="AD1047" s="111"/>
      <c r="AE1047" s="111"/>
      <c r="AF1047" s="111"/>
      <c r="AG1047" s="67"/>
    </row>
    <row r="1048" spans="1:33">
      <c r="A1048" s="134"/>
      <c r="B1048" s="153">
        <v>1</v>
      </c>
      <c r="C1048" s="153"/>
      <c r="D1048" s="245" t="s">
        <v>1545</v>
      </c>
      <c r="E1048" s="153" t="s">
        <v>949</v>
      </c>
      <c r="F1048" s="164">
        <v>4</v>
      </c>
      <c r="G1048" s="164">
        <f>'Assumptions TRC_AUN'!$J$71</f>
        <v>52696.125</v>
      </c>
      <c r="H1048" s="164">
        <f t="shared" ref="H1048:H1056" si="974">$F1048*G1048</f>
        <v>210784.5</v>
      </c>
      <c r="I1048" s="111"/>
      <c r="J1048" s="151"/>
      <c r="K1048" s="111"/>
      <c r="L1048" s="111"/>
      <c r="M1048" s="111"/>
      <c r="N1048" s="111"/>
      <c r="O1048" s="111"/>
      <c r="P1048" s="111"/>
      <c r="Q1048" s="111"/>
      <c r="R1048" s="111"/>
      <c r="S1048" s="712"/>
      <c r="T1048" s="169" t="s">
        <v>946</v>
      </c>
      <c r="U1048" s="169" t="s">
        <v>946</v>
      </c>
      <c r="V1048" s="121" t="s">
        <v>813</v>
      </c>
      <c r="W1048" s="121" t="s">
        <v>1094</v>
      </c>
      <c r="X1048" s="170">
        <f>'Assumptions TRC_AUN'!$J$72</f>
        <v>878.26874999999995</v>
      </c>
      <c r="Y1048" s="200">
        <f t="shared" ref="Y1048:Y1058" si="975">Z1048/X1048</f>
        <v>240</v>
      </c>
      <c r="Z1048" s="167">
        <f t="shared" ref="Z1048:Z1058" si="976">H1048</f>
        <v>210784.5</v>
      </c>
      <c r="AA1048" s="111"/>
      <c r="AB1048" s="111"/>
      <c r="AC1048" s="111"/>
      <c r="AD1048" s="111"/>
      <c r="AE1048" s="111"/>
      <c r="AF1048" s="111"/>
      <c r="AG1048" s="67"/>
    </row>
    <row r="1049" spans="1:33">
      <c r="A1049" s="134"/>
      <c r="B1049" s="153">
        <v>2</v>
      </c>
      <c r="C1049" s="153"/>
      <c r="D1049" s="245" t="s">
        <v>1546</v>
      </c>
      <c r="E1049" s="153" t="s">
        <v>1191</v>
      </c>
      <c r="F1049" s="164">
        <v>8</v>
      </c>
      <c r="G1049" s="164">
        <f>'Assumptions TRC_AUN'!$I$174</f>
        <v>5745</v>
      </c>
      <c r="H1049" s="164">
        <f t="shared" si="974"/>
        <v>45960</v>
      </c>
      <c r="I1049" s="111"/>
      <c r="J1049" s="151"/>
      <c r="K1049" s="111"/>
      <c r="L1049" s="111"/>
      <c r="M1049" s="111"/>
      <c r="N1049" s="111"/>
      <c r="O1049" s="111"/>
      <c r="P1049" s="111"/>
      <c r="Q1049" s="111"/>
      <c r="R1049" s="111"/>
      <c r="S1049" s="712"/>
      <c r="T1049" s="169" t="s">
        <v>946</v>
      </c>
      <c r="U1049" s="169" t="s">
        <v>946</v>
      </c>
      <c r="V1049" s="121" t="s">
        <v>809</v>
      </c>
      <c r="W1049" s="121" t="s">
        <v>791</v>
      </c>
      <c r="X1049" s="170">
        <f>'Assumptions TRC_AUN'!$I$175</f>
        <v>2872.5</v>
      </c>
      <c r="Y1049" s="200">
        <f t="shared" si="975"/>
        <v>16</v>
      </c>
      <c r="Z1049" s="167">
        <f t="shared" si="976"/>
        <v>45960</v>
      </c>
      <c r="AA1049" s="111"/>
      <c r="AB1049" s="111"/>
      <c r="AC1049" s="111"/>
      <c r="AD1049" s="111"/>
      <c r="AE1049" s="111"/>
      <c r="AF1049" s="111"/>
      <c r="AG1049" s="67"/>
    </row>
    <row r="1050" spans="1:33">
      <c r="A1050" s="134"/>
      <c r="B1050" s="153">
        <v>3</v>
      </c>
      <c r="C1050" s="153"/>
      <c r="D1050" s="245" t="s">
        <v>1547</v>
      </c>
      <c r="E1050" s="153" t="s">
        <v>1191</v>
      </c>
      <c r="F1050" s="164">
        <v>20</v>
      </c>
      <c r="G1050" s="164">
        <f>'Assumptions TRC_AUN'!$I$174</f>
        <v>5745</v>
      </c>
      <c r="H1050" s="164">
        <f t="shared" si="974"/>
        <v>114900</v>
      </c>
      <c r="I1050" s="111"/>
      <c r="J1050" s="151"/>
      <c r="K1050" s="111"/>
      <c r="L1050" s="111"/>
      <c r="M1050" s="111"/>
      <c r="N1050" s="111"/>
      <c r="O1050" s="111"/>
      <c r="P1050" s="111"/>
      <c r="Q1050" s="111"/>
      <c r="R1050" s="111"/>
      <c r="S1050" s="712"/>
      <c r="T1050" s="169" t="s">
        <v>946</v>
      </c>
      <c r="U1050" s="169" t="s">
        <v>946</v>
      </c>
      <c r="V1050" s="121" t="s">
        <v>809</v>
      </c>
      <c r="W1050" s="121" t="s">
        <v>791</v>
      </c>
      <c r="X1050" s="170">
        <f>'Assumptions TRC_AUN'!$I$175</f>
        <v>2872.5</v>
      </c>
      <c r="Y1050" s="200">
        <f t="shared" si="975"/>
        <v>40</v>
      </c>
      <c r="Z1050" s="167">
        <f t="shared" si="976"/>
        <v>114900</v>
      </c>
      <c r="AA1050" s="111"/>
      <c r="AB1050" s="111"/>
      <c r="AC1050" s="111"/>
      <c r="AD1050" s="111"/>
      <c r="AE1050" s="111"/>
      <c r="AF1050" s="111"/>
      <c r="AG1050" s="67"/>
    </row>
    <row r="1051" spans="1:33">
      <c r="A1051" s="134"/>
      <c r="B1051" s="153">
        <v>4</v>
      </c>
      <c r="C1051" s="153"/>
      <c r="D1051" s="245" t="s">
        <v>1548</v>
      </c>
      <c r="E1051" s="153" t="s">
        <v>949</v>
      </c>
      <c r="F1051" s="164">
        <v>1</v>
      </c>
      <c r="G1051" s="164">
        <f>'Assumptions TRC_AUN'!$J$90</f>
        <v>10982.125</v>
      </c>
      <c r="H1051" s="164">
        <f t="shared" si="974"/>
        <v>10982.125</v>
      </c>
      <c r="I1051" s="111"/>
      <c r="J1051" s="151"/>
      <c r="K1051" s="111"/>
      <c r="L1051" s="111"/>
      <c r="M1051" s="111"/>
      <c r="N1051" s="111"/>
      <c r="O1051" s="111"/>
      <c r="P1051" s="111"/>
      <c r="Q1051" s="111"/>
      <c r="R1051" s="111"/>
      <c r="S1051" s="712"/>
      <c r="T1051" s="169" t="s">
        <v>946</v>
      </c>
      <c r="U1051" s="169" t="s">
        <v>946</v>
      </c>
      <c r="V1051" s="121" t="s">
        <v>813</v>
      </c>
      <c r="W1051" s="121" t="s">
        <v>1094</v>
      </c>
      <c r="X1051" s="170">
        <f>'Assumptions TRC_AUN'!$J$91</f>
        <v>549.10625000000005</v>
      </c>
      <c r="Y1051" s="200">
        <f t="shared" si="975"/>
        <v>20</v>
      </c>
      <c r="Z1051" s="167">
        <f t="shared" si="976"/>
        <v>10982.125</v>
      </c>
      <c r="AA1051" s="111"/>
      <c r="AB1051" s="111"/>
      <c r="AC1051" s="111"/>
      <c r="AD1051" s="111"/>
      <c r="AE1051" s="111"/>
      <c r="AF1051" s="111"/>
      <c r="AG1051" s="67"/>
    </row>
    <row r="1052" spans="1:33">
      <c r="A1052" s="134"/>
      <c r="B1052" s="153">
        <v>5</v>
      </c>
      <c r="C1052" s="153"/>
      <c r="D1052" s="245" t="s">
        <v>1549</v>
      </c>
      <c r="E1052" s="153" t="s">
        <v>1550</v>
      </c>
      <c r="F1052" s="164">
        <v>1</v>
      </c>
      <c r="G1052" s="164">
        <v>80000</v>
      </c>
      <c r="H1052" s="164">
        <f t="shared" si="974"/>
        <v>80000</v>
      </c>
      <c r="I1052" s="151"/>
      <c r="J1052" s="151"/>
      <c r="K1052" s="111"/>
      <c r="L1052" s="111"/>
      <c r="M1052" s="111"/>
      <c r="N1052" s="111"/>
      <c r="O1052" s="111"/>
      <c r="P1052" s="111"/>
      <c r="Q1052" s="111"/>
      <c r="R1052" s="111"/>
      <c r="S1052" s="712"/>
      <c r="T1052" s="169" t="s">
        <v>946</v>
      </c>
      <c r="U1052" s="169" t="s">
        <v>946</v>
      </c>
      <c r="V1052" s="121" t="s">
        <v>848</v>
      </c>
      <c r="W1052" s="164" t="s">
        <v>947</v>
      </c>
      <c r="X1052" s="170">
        <f>'Assumptions TRC_AUN'!$E$33</f>
        <v>3334</v>
      </c>
      <c r="Y1052" s="200">
        <f t="shared" si="975"/>
        <v>23.995200959808038</v>
      </c>
      <c r="Z1052" s="167">
        <f t="shared" si="976"/>
        <v>80000</v>
      </c>
      <c r="AA1052" s="111"/>
      <c r="AB1052" s="111"/>
      <c r="AC1052" s="111"/>
      <c r="AD1052" s="111"/>
      <c r="AE1052" s="111"/>
      <c r="AF1052" s="111"/>
      <c r="AG1052" s="67"/>
    </row>
    <row r="1053" spans="1:33">
      <c r="A1053" s="134"/>
      <c r="B1053" s="153">
        <v>6</v>
      </c>
      <c r="C1053" s="153"/>
      <c r="D1053" s="245" t="s">
        <v>1551</v>
      </c>
      <c r="E1053" s="153" t="s">
        <v>1182</v>
      </c>
      <c r="F1053" s="194">
        <f>9*12</f>
        <v>108</v>
      </c>
      <c r="G1053" s="194">
        <f>'Assumptions HR_AUN'!$E$4</f>
        <v>11889</v>
      </c>
      <c r="H1053" s="164">
        <f t="shared" si="974"/>
        <v>1284012</v>
      </c>
      <c r="I1053" s="151"/>
      <c r="J1053" s="151"/>
      <c r="K1053" s="111"/>
      <c r="L1053" s="111"/>
      <c r="M1053" s="111"/>
      <c r="N1053" s="111"/>
      <c r="O1053" s="111"/>
      <c r="P1053" s="111"/>
      <c r="Q1053" s="111"/>
      <c r="R1053" s="111"/>
      <c r="S1053" s="712"/>
      <c r="T1053" s="169" t="s">
        <v>946</v>
      </c>
      <c r="U1053" s="169" t="s">
        <v>946</v>
      </c>
      <c r="V1053" s="121" t="s">
        <v>848</v>
      </c>
      <c r="W1053" s="164" t="s">
        <v>947</v>
      </c>
      <c r="X1053" s="170">
        <f>'Assumptions TRC_AUN'!$E$33</f>
        <v>3334</v>
      </c>
      <c r="Y1053" s="200">
        <f t="shared" si="975"/>
        <v>385.12657468506296</v>
      </c>
      <c r="Z1053" s="167">
        <f t="shared" si="976"/>
        <v>1284012</v>
      </c>
      <c r="AA1053" s="111"/>
      <c r="AB1053" s="111"/>
      <c r="AC1053" s="111"/>
      <c r="AD1053" s="111"/>
      <c r="AE1053" s="111"/>
      <c r="AF1053" s="111"/>
      <c r="AG1053" s="67"/>
    </row>
    <row r="1054" spans="1:33">
      <c r="A1054" s="134"/>
      <c r="B1054" s="153">
        <v>7</v>
      </c>
      <c r="C1054" s="153"/>
      <c r="D1054" s="245" t="s">
        <v>1552</v>
      </c>
      <c r="E1054" s="153" t="s">
        <v>1182</v>
      </c>
      <c r="F1054" s="164">
        <v>12</v>
      </c>
      <c r="G1054" s="194">
        <f>'Assumptions HR_AUN'!$E$5*0.6</f>
        <v>15116.4</v>
      </c>
      <c r="H1054" s="164">
        <f t="shared" si="974"/>
        <v>181396.8</v>
      </c>
      <c r="I1054" s="151"/>
      <c r="J1054" s="151"/>
      <c r="K1054" s="111"/>
      <c r="L1054" s="111"/>
      <c r="M1054" s="111"/>
      <c r="N1054" s="111"/>
      <c r="O1054" s="111"/>
      <c r="P1054" s="111"/>
      <c r="Q1054" s="111"/>
      <c r="R1054" s="111"/>
      <c r="S1054" s="712"/>
      <c r="T1054" s="169" t="s">
        <v>946</v>
      </c>
      <c r="U1054" s="169" t="s">
        <v>946</v>
      </c>
      <c r="V1054" s="121" t="s">
        <v>848</v>
      </c>
      <c r="W1054" s="164" t="s">
        <v>947</v>
      </c>
      <c r="X1054" s="170">
        <f>'Assumptions TRC_AUN'!$E$33</f>
        <v>3334</v>
      </c>
      <c r="Y1054" s="200">
        <f t="shared" si="975"/>
        <v>54.408158368326333</v>
      </c>
      <c r="Z1054" s="167">
        <f t="shared" si="976"/>
        <v>181396.8</v>
      </c>
      <c r="AA1054" s="111"/>
      <c r="AB1054" s="111"/>
      <c r="AC1054" s="111"/>
      <c r="AD1054" s="111"/>
      <c r="AE1054" s="111"/>
      <c r="AF1054" s="111"/>
      <c r="AG1054" s="67"/>
    </row>
    <row r="1055" spans="1:33">
      <c r="A1055" s="134"/>
      <c r="B1055" s="153">
        <v>8</v>
      </c>
      <c r="C1055" s="153"/>
      <c r="D1055" s="245" t="s">
        <v>1553</v>
      </c>
      <c r="E1055" s="153" t="s">
        <v>1182</v>
      </c>
      <c r="F1055" s="164">
        <v>12</v>
      </c>
      <c r="G1055" s="194">
        <f>'Assumptions HR_AUN'!$E$3*0.4</f>
        <v>15353.2</v>
      </c>
      <c r="H1055" s="164">
        <f t="shared" si="974"/>
        <v>184238.40000000002</v>
      </c>
      <c r="I1055" s="151"/>
      <c r="J1055" s="151"/>
      <c r="K1055" s="111"/>
      <c r="L1055" s="111"/>
      <c r="M1055" s="111"/>
      <c r="N1055" s="111"/>
      <c r="O1055" s="111"/>
      <c r="P1055" s="111"/>
      <c r="Q1055" s="111"/>
      <c r="R1055" s="111"/>
      <c r="S1055" s="712"/>
      <c r="T1055" s="169" t="s">
        <v>946</v>
      </c>
      <c r="U1055" s="169" t="s">
        <v>946</v>
      </c>
      <c r="V1055" s="121" t="s">
        <v>848</v>
      </c>
      <c r="W1055" s="164" t="s">
        <v>947</v>
      </c>
      <c r="X1055" s="170">
        <f>'Assumptions TRC_AUN'!$E$33</f>
        <v>3334</v>
      </c>
      <c r="Y1055" s="200">
        <f t="shared" si="975"/>
        <v>55.260467906418725</v>
      </c>
      <c r="Z1055" s="167">
        <f t="shared" si="976"/>
        <v>184238.40000000002</v>
      </c>
      <c r="AA1055" s="111"/>
      <c r="AB1055" s="111"/>
      <c r="AC1055" s="111"/>
      <c r="AD1055" s="111"/>
      <c r="AE1055" s="111"/>
      <c r="AF1055" s="111"/>
      <c r="AG1055" s="67"/>
    </row>
    <row r="1056" spans="1:33">
      <c r="A1056" s="134"/>
      <c r="B1056" s="153">
        <v>9</v>
      </c>
      <c r="C1056" s="153"/>
      <c r="D1056" s="245" t="s">
        <v>1554</v>
      </c>
      <c r="E1056" s="153" t="s">
        <v>1555</v>
      </c>
      <c r="F1056" s="164">
        <v>1</v>
      </c>
      <c r="G1056" s="194">
        <f>'Assumptions HR_AUN'!$E$4</f>
        <v>11889</v>
      </c>
      <c r="H1056" s="164">
        <f t="shared" si="974"/>
        <v>11889</v>
      </c>
      <c r="I1056" s="151"/>
      <c r="J1056" s="151"/>
      <c r="K1056" s="111"/>
      <c r="L1056" s="111"/>
      <c r="M1056" s="111"/>
      <c r="N1056" s="111"/>
      <c r="O1056" s="111"/>
      <c r="P1056" s="111"/>
      <c r="Q1056" s="111"/>
      <c r="R1056" s="111"/>
      <c r="S1056" s="712"/>
      <c r="T1056" s="169" t="s">
        <v>946</v>
      </c>
      <c r="U1056" s="169" t="s">
        <v>946</v>
      </c>
      <c r="V1056" s="121" t="s">
        <v>848</v>
      </c>
      <c r="W1056" s="164" t="s">
        <v>947</v>
      </c>
      <c r="X1056" s="170">
        <f>'Assumptions TRC_AUN'!$E$33</f>
        <v>3334</v>
      </c>
      <c r="Y1056" s="200">
        <f t="shared" si="975"/>
        <v>3.5659868026394723</v>
      </c>
      <c r="Z1056" s="167">
        <f t="shared" si="976"/>
        <v>11889</v>
      </c>
      <c r="AA1056" s="111"/>
      <c r="AB1056" s="111"/>
      <c r="AC1056" s="111"/>
      <c r="AD1056" s="111"/>
      <c r="AE1056" s="111"/>
      <c r="AF1056" s="111"/>
      <c r="AG1056" s="67"/>
    </row>
    <row r="1057" spans="1:33">
      <c r="A1057" s="134"/>
      <c r="B1057" s="153">
        <v>10</v>
      </c>
      <c r="C1057" s="121" t="s">
        <v>1001</v>
      </c>
      <c r="D1057" s="153"/>
      <c r="E1057" s="153"/>
      <c r="F1057" s="221"/>
      <c r="G1057" s="164"/>
      <c r="H1057" s="164">
        <f>SUM(H1048:H1056)*10%</f>
        <v>212416.28250000003</v>
      </c>
      <c r="I1057" s="151"/>
      <c r="J1057" s="151"/>
      <c r="K1057" s="111"/>
      <c r="L1057" s="111"/>
      <c r="M1057" s="111"/>
      <c r="N1057" s="111"/>
      <c r="O1057" s="111"/>
      <c r="P1057" s="111"/>
      <c r="Q1057" s="111"/>
      <c r="R1057" s="111"/>
      <c r="S1057" s="712"/>
      <c r="T1057" s="169" t="s">
        <v>946</v>
      </c>
      <c r="U1057" s="169" t="s">
        <v>946</v>
      </c>
      <c r="V1057" s="121" t="s">
        <v>875</v>
      </c>
      <c r="W1057" s="121" t="s">
        <v>961</v>
      </c>
      <c r="X1057" s="170">
        <f>'Assumptions HR_AUN'!$D$4*3</f>
        <v>88211.039066799218</v>
      </c>
      <c r="Y1057" s="200">
        <f t="shared" si="975"/>
        <v>2.4080464842857641</v>
      </c>
      <c r="Z1057" s="167">
        <f t="shared" si="976"/>
        <v>212416.28250000003</v>
      </c>
      <c r="AA1057" s="111"/>
      <c r="AB1057" s="111"/>
      <c r="AC1057" s="111"/>
      <c r="AD1057" s="111"/>
      <c r="AE1057" s="111"/>
      <c r="AF1057" s="111"/>
      <c r="AG1057" s="67"/>
    </row>
    <row r="1058" spans="1:33">
      <c r="A1058" s="134"/>
      <c r="B1058" s="153">
        <v>11</v>
      </c>
      <c r="C1058" s="121" t="s">
        <v>962</v>
      </c>
      <c r="D1058" s="153"/>
      <c r="E1058" s="153"/>
      <c r="F1058" s="221"/>
      <c r="G1058" s="164"/>
      <c r="H1058" s="164">
        <f>SUM(H1048:H1056)*15%</f>
        <v>318624.42375000002</v>
      </c>
      <c r="I1058" s="151"/>
      <c r="J1058" s="151"/>
      <c r="K1058" s="111"/>
      <c r="L1058" s="111"/>
      <c r="M1058" s="111"/>
      <c r="N1058" s="111"/>
      <c r="O1058" s="111"/>
      <c r="P1058" s="111"/>
      <c r="Q1058" s="111"/>
      <c r="R1058" s="111"/>
      <c r="S1058" s="712"/>
      <c r="T1058" s="169" t="s">
        <v>946</v>
      </c>
      <c r="U1058" s="169" t="s">
        <v>946</v>
      </c>
      <c r="V1058" s="121" t="s">
        <v>881</v>
      </c>
      <c r="W1058" s="121" t="s">
        <v>964</v>
      </c>
      <c r="X1058" s="170">
        <f>H1058/4</f>
        <v>79656.105937500004</v>
      </c>
      <c r="Y1058" s="200">
        <f t="shared" si="975"/>
        <v>4</v>
      </c>
      <c r="Z1058" s="167">
        <f t="shared" si="976"/>
        <v>318624.42375000002</v>
      </c>
      <c r="AA1058" s="111"/>
      <c r="AB1058" s="111"/>
      <c r="AC1058" s="111"/>
      <c r="AD1058" s="111"/>
      <c r="AE1058" s="111"/>
      <c r="AF1058" s="111"/>
      <c r="AG1058" s="67"/>
    </row>
    <row r="1059" spans="1:33">
      <c r="A1059" s="134"/>
      <c r="B1059" s="286">
        <v>12</v>
      </c>
      <c r="C1059" s="286"/>
      <c r="D1059" s="286" t="s">
        <v>1556</v>
      </c>
      <c r="E1059" s="286" t="s">
        <v>1557</v>
      </c>
      <c r="F1059" s="287">
        <v>640</v>
      </c>
      <c r="G1059" s="287" t="s">
        <v>1558</v>
      </c>
      <c r="H1059" s="287" t="s">
        <v>1559</v>
      </c>
      <c r="I1059" s="111"/>
      <c r="J1059" s="111"/>
      <c r="K1059" s="111"/>
      <c r="L1059" s="111"/>
      <c r="M1059" s="111"/>
      <c r="N1059" s="111"/>
      <c r="O1059" s="111"/>
      <c r="P1059" s="111"/>
      <c r="Q1059" s="111"/>
      <c r="R1059" s="111"/>
      <c r="S1059" s="712"/>
      <c r="T1059" s="111"/>
      <c r="U1059" s="111"/>
      <c r="V1059" s="67"/>
      <c r="W1059" s="111"/>
      <c r="X1059" s="132"/>
      <c r="Y1059" s="111"/>
      <c r="Z1059" s="111"/>
      <c r="AA1059" s="111"/>
      <c r="AB1059" s="111"/>
      <c r="AC1059" s="111"/>
      <c r="AD1059" s="111"/>
      <c r="AE1059" s="111"/>
      <c r="AF1059" s="111"/>
      <c r="AG1059" s="67"/>
    </row>
    <row r="1060" spans="1:33">
      <c r="A1060" s="134"/>
      <c r="B1060" s="186"/>
      <c r="C1060" s="186" t="s">
        <v>770</v>
      </c>
      <c r="D1060" s="186"/>
      <c r="E1060" s="186"/>
      <c r="F1060" s="276"/>
      <c r="G1060" s="276"/>
      <c r="H1060" s="276">
        <f>SUM(H1048:H1059)</f>
        <v>2655203.5312500005</v>
      </c>
      <c r="I1060" s="111"/>
      <c r="J1060" s="111"/>
      <c r="K1060" s="111"/>
      <c r="L1060" s="111"/>
      <c r="M1060" s="111"/>
      <c r="N1060" s="111"/>
      <c r="O1060" s="111"/>
      <c r="P1060" s="111"/>
      <c r="Q1060" s="111"/>
      <c r="R1060" s="111"/>
      <c r="S1060" s="712"/>
      <c r="T1060" s="111"/>
      <c r="U1060" s="111"/>
      <c r="V1060" s="67"/>
      <c r="W1060" s="111"/>
      <c r="X1060" s="132"/>
      <c r="Y1060" s="111"/>
      <c r="Z1060" s="111"/>
      <c r="AA1060" s="111"/>
      <c r="AB1060" s="111"/>
      <c r="AC1060" s="111"/>
      <c r="AD1060" s="111"/>
      <c r="AE1060" s="111"/>
      <c r="AF1060" s="111"/>
      <c r="AG1060" s="67"/>
    </row>
    <row r="1061" spans="1:33">
      <c r="A1061" s="9"/>
      <c r="B1061" s="111"/>
      <c r="C1061" s="111"/>
      <c r="D1061" s="111"/>
      <c r="E1061" s="111"/>
      <c r="F1061" s="111"/>
      <c r="G1061" s="111"/>
      <c r="H1061" s="151"/>
      <c r="I1061" s="111"/>
      <c r="J1061" s="111"/>
      <c r="K1061" s="111"/>
      <c r="L1061" s="111"/>
      <c r="M1061" s="111"/>
      <c r="N1061" s="111"/>
      <c r="O1061" s="111"/>
      <c r="P1061" s="111"/>
      <c r="Q1061" s="111"/>
      <c r="R1061" s="111"/>
      <c r="S1061" s="712"/>
      <c r="T1061" s="111"/>
      <c r="U1061" s="111"/>
      <c r="V1061" s="67"/>
      <c r="W1061" s="111"/>
      <c r="X1061" s="111"/>
      <c r="Y1061" s="111"/>
      <c r="Z1061" s="111"/>
      <c r="AA1061" s="111"/>
      <c r="AB1061" s="111"/>
      <c r="AC1061" s="111"/>
      <c r="AD1061" s="111"/>
      <c r="AE1061" s="111"/>
      <c r="AF1061" s="111"/>
      <c r="AG1061" s="67"/>
    </row>
    <row r="1062" spans="1:33">
      <c r="A1062" s="725">
        <v>60</v>
      </c>
      <c r="B1062" s="726" t="e" vm="1">
        <f>'[2]AUN Budget'!$E$241</f>
        <v>#VALUE!</v>
      </c>
      <c r="C1062" s="731"/>
      <c r="D1062" s="731"/>
      <c r="E1062" s="731"/>
      <c r="F1062" s="731"/>
      <c r="G1062" s="731"/>
      <c r="H1062" s="731"/>
      <c r="I1062" s="111"/>
      <c r="J1062" s="111"/>
      <c r="K1062" s="111"/>
      <c r="L1062" s="111"/>
      <c r="M1062" s="111"/>
      <c r="N1062" s="111"/>
      <c r="O1062" s="111"/>
      <c r="P1062" s="111"/>
      <c r="Q1062" s="111"/>
      <c r="R1062" s="111"/>
      <c r="S1062" s="712"/>
      <c r="T1062" s="111"/>
      <c r="U1062" s="111"/>
      <c r="V1062" s="67"/>
      <c r="W1062" s="111"/>
      <c r="X1062" s="132"/>
      <c r="Y1062" s="111"/>
      <c r="Z1062" s="111"/>
      <c r="AA1062" s="111"/>
      <c r="AB1062" s="111"/>
      <c r="AC1062" s="111"/>
      <c r="AD1062" s="111"/>
      <c r="AE1062" s="111"/>
      <c r="AF1062" s="111"/>
      <c r="AG1062" s="67"/>
    </row>
    <row r="1063" spans="1:33">
      <c r="A1063" s="134" t="s">
        <v>197</v>
      </c>
      <c r="B1063" s="113" t="s">
        <v>755</v>
      </c>
      <c r="C1063" s="113" t="s">
        <v>1304</v>
      </c>
      <c r="D1063" s="113" t="s">
        <v>1305</v>
      </c>
      <c r="E1063" s="113" t="s">
        <v>697</v>
      </c>
      <c r="F1063" s="113" t="s">
        <v>1476</v>
      </c>
      <c r="G1063" s="288" t="s">
        <v>1560</v>
      </c>
      <c r="H1063" s="288" t="s">
        <v>973</v>
      </c>
      <c r="I1063" s="113" t="s">
        <v>1561</v>
      </c>
      <c r="J1063" s="113" t="s">
        <v>974</v>
      </c>
      <c r="K1063" s="111"/>
      <c r="L1063" s="111"/>
      <c r="M1063" s="111"/>
      <c r="N1063" s="111"/>
      <c r="O1063" s="111"/>
      <c r="P1063" s="111"/>
      <c r="Q1063" s="111"/>
      <c r="R1063" s="111"/>
      <c r="S1063" s="712"/>
      <c r="T1063" s="159" t="s">
        <v>387</v>
      </c>
      <c r="U1063" s="159" t="s">
        <v>388</v>
      </c>
      <c r="V1063" s="160" t="s">
        <v>934</v>
      </c>
      <c r="W1063" s="160" t="s">
        <v>935</v>
      </c>
      <c r="X1063" s="161" t="s">
        <v>936</v>
      </c>
      <c r="Y1063" s="162" t="s">
        <v>937</v>
      </c>
      <c r="Z1063" s="161" t="s">
        <v>938</v>
      </c>
      <c r="AA1063" s="289" t="s">
        <v>939</v>
      </c>
      <c r="AB1063" s="290" t="s">
        <v>940</v>
      </c>
      <c r="AC1063" s="289" t="s">
        <v>941</v>
      </c>
      <c r="AD1063" s="111"/>
      <c r="AE1063" s="111"/>
      <c r="AF1063" s="111"/>
      <c r="AG1063" s="67"/>
    </row>
    <row r="1064" spans="1:33">
      <c r="A1064" s="134"/>
      <c r="B1064" s="153">
        <v>1</v>
      </c>
      <c r="C1064" s="153"/>
      <c r="D1064" s="245" t="s">
        <v>1562</v>
      </c>
      <c r="E1064" s="153" t="s">
        <v>949</v>
      </c>
      <c r="F1064" s="164">
        <v>1</v>
      </c>
      <c r="G1064" s="283">
        <f>'Assumptions TRC_AUN'!$J$71</f>
        <v>52696.125</v>
      </c>
      <c r="H1064" s="283">
        <f t="shared" ref="H1064:H1072" si="977">$F1064*G1064</f>
        <v>52696.125</v>
      </c>
      <c r="I1064" s="164">
        <f>'Assumptions TRC_AUN'!$J$71</f>
        <v>52696.125</v>
      </c>
      <c r="J1064" s="164">
        <f t="shared" ref="J1064:J1072" si="978">$F1064*I1064</f>
        <v>52696.125</v>
      </c>
      <c r="K1064" s="111"/>
      <c r="L1064" s="111"/>
      <c r="M1064" s="111"/>
      <c r="N1064" s="111"/>
      <c r="O1064" s="111"/>
      <c r="P1064" s="111"/>
      <c r="Q1064" s="111"/>
      <c r="R1064" s="111"/>
      <c r="S1064" s="712"/>
      <c r="T1064" s="169" t="s">
        <v>946</v>
      </c>
      <c r="U1064" s="169" t="s">
        <v>946</v>
      </c>
      <c r="V1064" s="121" t="s">
        <v>813</v>
      </c>
      <c r="W1064" s="121" t="s">
        <v>1094</v>
      </c>
      <c r="X1064" s="170">
        <f>'Assumptions TRC_AUN'!$J$72</f>
        <v>878.26874999999995</v>
      </c>
      <c r="Y1064" s="200">
        <f t="shared" ref="Y1064:Y1074" si="979">Z1064/X1064</f>
        <v>60</v>
      </c>
      <c r="Z1064" s="167">
        <f t="shared" ref="Z1064:Z1074" si="980">J1064</f>
        <v>52696.125</v>
      </c>
      <c r="AA1064" s="291">
        <f>'Assumptions TRC_AUN'!$J$72</f>
        <v>878.26874999999995</v>
      </c>
      <c r="AB1064" s="292">
        <f t="shared" ref="AB1064:AB1074" si="981">AC1064/AA1064</f>
        <v>60</v>
      </c>
      <c r="AC1064" s="293">
        <f t="shared" ref="AC1064:AC1074" si="982">H1064</f>
        <v>52696.125</v>
      </c>
      <c r="AD1064" s="111"/>
      <c r="AE1064" s="111"/>
      <c r="AF1064" s="111"/>
      <c r="AG1064" s="67"/>
    </row>
    <row r="1065" spans="1:33">
      <c r="A1065" s="134"/>
      <c r="B1065" s="153">
        <v>2</v>
      </c>
      <c r="C1065" s="153"/>
      <c r="D1065" s="245" t="s">
        <v>1563</v>
      </c>
      <c r="E1065" s="153" t="s">
        <v>949</v>
      </c>
      <c r="F1065" s="164">
        <v>1</v>
      </c>
      <c r="G1065" s="283">
        <f>[2]Y2_REVISION!I16</f>
        <v>0</v>
      </c>
      <c r="H1065" s="283">
        <f t="shared" si="977"/>
        <v>0</v>
      </c>
      <c r="I1065" s="164">
        <f>'Assumptions TRC_AUN'!$J$163</f>
        <v>183564.125</v>
      </c>
      <c r="J1065" s="164">
        <f t="shared" si="978"/>
        <v>183564.125</v>
      </c>
      <c r="K1065" s="111"/>
      <c r="L1065" s="111"/>
      <c r="M1065" s="111"/>
      <c r="N1065" s="111"/>
      <c r="O1065" s="111"/>
      <c r="P1065" s="111"/>
      <c r="Q1065" s="111"/>
      <c r="R1065" s="111"/>
      <c r="S1065" s="712"/>
      <c r="T1065" s="169" t="s">
        <v>946</v>
      </c>
      <c r="U1065" s="169" t="s">
        <v>946</v>
      </c>
      <c r="V1065" s="121" t="s">
        <v>813</v>
      </c>
      <c r="W1065" s="121" t="s">
        <v>1094</v>
      </c>
      <c r="X1065" s="170">
        <f>'Assumptions TRC_AUN'!$J$164</f>
        <v>1019.8006944444445</v>
      </c>
      <c r="Y1065" s="200">
        <f t="shared" si="979"/>
        <v>180</v>
      </c>
      <c r="Z1065" s="167">
        <f t="shared" si="980"/>
        <v>183564.125</v>
      </c>
      <c r="AA1065" s="291">
        <f>[2]Y2_REVISION!I17</f>
        <v>0</v>
      </c>
      <c r="AB1065" s="292" t="e">
        <f t="shared" si="981"/>
        <v>#DIV/0!</v>
      </c>
      <c r="AC1065" s="293">
        <f t="shared" si="982"/>
        <v>0</v>
      </c>
      <c r="AD1065" s="111"/>
      <c r="AE1065" s="111"/>
      <c r="AF1065" s="111"/>
      <c r="AG1065" s="67"/>
    </row>
    <row r="1066" spans="1:33">
      <c r="A1066" s="134"/>
      <c r="B1066" s="153">
        <v>3</v>
      </c>
      <c r="C1066" s="153"/>
      <c r="D1066" s="245" t="s">
        <v>1564</v>
      </c>
      <c r="E1066" s="153" t="s">
        <v>949</v>
      </c>
      <c r="F1066" s="164">
        <v>1</v>
      </c>
      <c r="G1066" s="283">
        <f>'Assumptions TRC_AUN'!$J$90</f>
        <v>10982.125</v>
      </c>
      <c r="H1066" s="283">
        <f t="shared" si="977"/>
        <v>10982.125</v>
      </c>
      <c r="I1066" s="164">
        <f>'Assumptions TRC_AUN'!$J$90</f>
        <v>10982.125</v>
      </c>
      <c r="J1066" s="164">
        <f t="shared" si="978"/>
        <v>10982.125</v>
      </c>
      <c r="K1066" s="111"/>
      <c r="L1066" s="111"/>
      <c r="M1066" s="111"/>
      <c r="N1066" s="111"/>
      <c r="O1066" s="111"/>
      <c r="P1066" s="111"/>
      <c r="Q1066" s="111"/>
      <c r="R1066" s="111"/>
      <c r="S1066" s="712"/>
      <c r="T1066" s="169" t="s">
        <v>946</v>
      </c>
      <c r="U1066" s="169" t="s">
        <v>946</v>
      </c>
      <c r="V1066" s="121" t="s">
        <v>813</v>
      </c>
      <c r="W1066" s="121" t="s">
        <v>1094</v>
      </c>
      <c r="X1066" s="170">
        <f>'Assumptions TRC_AUN'!$J$91</f>
        <v>549.10625000000005</v>
      </c>
      <c r="Y1066" s="200">
        <f t="shared" si="979"/>
        <v>20</v>
      </c>
      <c r="Z1066" s="167">
        <f t="shared" si="980"/>
        <v>10982.125</v>
      </c>
      <c r="AA1066" s="291">
        <f>'Assumptions TRC_AUN'!$J$91</f>
        <v>549.10625000000005</v>
      </c>
      <c r="AB1066" s="292">
        <f t="shared" si="981"/>
        <v>20</v>
      </c>
      <c r="AC1066" s="293">
        <f t="shared" si="982"/>
        <v>10982.125</v>
      </c>
      <c r="AD1066" s="111"/>
      <c r="AE1066" s="111"/>
      <c r="AF1066" s="111"/>
      <c r="AG1066" s="67"/>
    </row>
    <row r="1067" spans="1:33">
      <c r="A1067" s="134"/>
      <c r="B1067" s="153">
        <v>4</v>
      </c>
      <c r="C1067" s="153"/>
      <c r="D1067" s="245" t="s">
        <v>1565</v>
      </c>
      <c r="E1067" s="153" t="s">
        <v>949</v>
      </c>
      <c r="F1067" s="164">
        <v>2</v>
      </c>
      <c r="G1067" s="283">
        <f>'Assumptions TRC_AUN'!$J$90</f>
        <v>10982.125</v>
      </c>
      <c r="H1067" s="283">
        <f t="shared" si="977"/>
        <v>21964.25</v>
      </c>
      <c r="I1067" s="164">
        <f>'Assumptions TRC_AUN'!$J$90</f>
        <v>10982.125</v>
      </c>
      <c r="J1067" s="164">
        <f t="shared" si="978"/>
        <v>21964.25</v>
      </c>
      <c r="K1067" s="111"/>
      <c r="L1067" s="111"/>
      <c r="M1067" s="111"/>
      <c r="N1067" s="111"/>
      <c r="O1067" s="111"/>
      <c r="P1067" s="111"/>
      <c r="Q1067" s="111"/>
      <c r="R1067" s="111"/>
      <c r="S1067" s="712"/>
      <c r="T1067" s="169" t="s">
        <v>946</v>
      </c>
      <c r="U1067" s="169" t="s">
        <v>946</v>
      </c>
      <c r="V1067" s="121" t="s">
        <v>813</v>
      </c>
      <c r="W1067" s="121" t="s">
        <v>1094</v>
      </c>
      <c r="X1067" s="170">
        <f>'Assumptions TRC_AUN'!$J$91</f>
        <v>549.10625000000005</v>
      </c>
      <c r="Y1067" s="200">
        <f t="shared" si="979"/>
        <v>40</v>
      </c>
      <c r="Z1067" s="167">
        <f t="shared" si="980"/>
        <v>21964.25</v>
      </c>
      <c r="AA1067" s="291">
        <f>'Assumptions TRC_AUN'!$J$91</f>
        <v>549.10625000000005</v>
      </c>
      <c r="AB1067" s="292">
        <f t="shared" si="981"/>
        <v>40</v>
      </c>
      <c r="AC1067" s="293">
        <f t="shared" si="982"/>
        <v>21964.25</v>
      </c>
      <c r="AD1067" s="111"/>
      <c r="AE1067" s="111"/>
      <c r="AF1067" s="111"/>
      <c r="AG1067" s="67"/>
    </row>
    <row r="1068" spans="1:33">
      <c r="A1068" s="134"/>
      <c r="B1068" s="153">
        <v>5</v>
      </c>
      <c r="C1068" s="153"/>
      <c r="D1068" s="245" t="s">
        <v>1508</v>
      </c>
      <c r="E1068" s="153" t="s">
        <v>1191</v>
      </c>
      <c r="F1068" s="164">
        <v>2</v>
      </c>
      <c r="G1068" s="283">
        <f>'Assumptions TRC_AUN'!$I$211</f>
        <v>51565</v>
      </c>
      <c r="H1068" s="283">
        <f t="shared" si="977"/>
        <v>103130</v>
      </c>
      <c r="I1068" s="164">
        <f>'Assumptions TRC_AUN'!$I$211</f>
        <v>51565</v>
      </c>
      <c r="J1068" s="164">
        <f t="shared" si="978"/>
        <v>103130</v>
      </c>
      <c r="K1068" s="111"/>
      <c r="L1068" s="111"/>
      <c r="M1068" s="111"/>
      <c r="N1068" s="111"/>
      <c r="O1068" s="111"/>
      <c r="P1068" s="111"/>
      <c r="Q1068" s="111"/>
      <c r="R1068" s="111"/>
      <c r="S1068" s="712"/>
      <c r="T1068" s="169" t="s">
        <v>946</v>
      </c>
      <c r="U1068" s="169" t="s">
        <v>946</v>
      </c>
      <c r="V1068" s="121" t="s">
        <v>809</v>
      </c>
      <c r="W1068" s="121" t="s">
        <v>791</v>
      </c>
      <c r="X1068" s="170">
        <f>'Assumptions TRC_AUN'!$I$212</f>
        <v>10313</v>
      </c>
      <c r="Y1068" s="200">
        <f t="shared" si="979"/>
        <v>10</v>
      </c>
      <c r="Z1068" s="167">
        <f t="shared" si="980"/>
        <v>103130</v>
      </c>
      <c r="AA1068" s="291">
        <f>'Assumptions TRC_AUN'!$I$212</f>
        <v>10313</v>
      </c>
      <c r="AB1068" s="292">
        <f t="shared" si="981"/>
        <v>10</v>
      </c>
      <c r="AC1068" s="293">
        <f t="shared" si="982"/>
        <v>103130</v>
      </c>
      <c r="AD1068" s="111"/>
      <c r="AE1068" s="111"/>
      <c r="AF1068" s="111"/>
      <c r="AG1068" s="67"/>
    </row>
    <row r="1069" spans="1:33">
      <c r="A1069" s="134"/>
      <c r="B1069" s="153">
        <v>6</v>
      </c>
      <c r="C1069" s="153"/>
      <c r="D1069" s="245" t="s">
        <v>1566</v>
      </c>
      <c r="E1069" s="153" t="s">
        <v>1182</v>
      </c>
      <c r="F1069" s="164">
        <v>12</v>
      </c>
      <c r="G1069" s="283">
        <f>'Assumptions HR_AUN'!$E$3</f>
        <v>38383</v>
      </c>
      <c r="H1069" s="283">
        <f t="shared" si="977"/>
        <v>460596</v>
      </c>
      <c r="I1069" s="194">
        <f>'Assumptions HR_AUN'!$E$3</f>
        <v>38383</v>
      </c>
      <c r="J1069" s="164">
        <f t="shared" si="978"/>
        <v>460596</v>
      </c>
      <c r="K1069" s="111"/>
      <c r="L1069" s="111"/>
      <c r="M1069" s="111"/>
      <c r="N1069" s="111"/>
      <c r="O1069" s="111"/>
      <c r="P1069" s="111"/>
      <c r="Q1069" s="111"/>
      <c r="R1069" s="111"/>
      <c r="S1069" s="712"/>
      <c r="T1069" s="169" t="s">
        <v>946</v>
      </c>
      <c r="U1069" s="169" t="s">
        <v>946</v>
      </c>
      <c r="V1069" s="121" t="s">
        <v>848</v>
      </c>
      <c r="W1069" s="164" t="s">
        <v>947</v>
      </c>
      <c r="X1069" s="170">
        <f>'Assumptions TRC_AUN'!$E$33</f>
        <v>3334</v>
      </c>
      <c r="Y1069" s="200">
        <f t="shared" si="979"/>
        <v>138.15116976604679</v>
      </c>
      <c r="Z1069" s="167">
        <f t="shared" si="980"/>
        <v>460596</v>
      </c>
      <c r="AA1069" s="291">
        <f>'Assumptions TRC_AUN'!$E$33</f>
        <v>3334</v>
      </c>
      <c r="AB1069" s="292">
        <f t="shared" si="981"/>
        <v>138.15116976604679</v>
      </c>
      <c r="AC1069" s="293">
        <f t="shared" si="982"/>
        <v>460596</v>
      </c>
      <c r="AD1069" s="111"/>
      <c r="AE1069" s="111"/>
      <c r="AF1069" s="111"/>
      <c r="AG1069" s="67"/>
    </row>
    <row r="1070" spans="1:33">
      <c r="A1070" s="134"/>
      <c r="B1070" s="153">
        <v>7</v>
      </c>
      <c r="C1070" s="153"/>
      <c r="D1070" s="245" t="s">
        <v>1567</v>
      </c>
      <c r="E1070" s="153" t="s">
        <v>1191</v>
      </c>
      <c r="F1070" s="164">
        <v>5</v>
      </c>
      <c r="G1070" s="283">
        <f>'Assumptions TRC_AUN'!$I$174</f>
        <v>5745</v>
      </c>
      <c r="H1070" s="283">
        <f t="shared" si="977"/>
        <v>28725</v>
      </c>
      <c r="I1070" s="164">
        <f>'Assumptions TRC_AUN'!$I$174</f>
        <v>5745</v>
      </c>
      <c r="J1070" s="164">
        <f t="shared" si="978"/>
        <v>28725</v>
      </c>
      <c r="K1070" s="111"/>
      <c r="L1070" s="111"/>
      <c r="M1070" s="111"/>
      <c r="N1070" s="111"/>
      <c r="O1070" s="111"/>
      <c r="P1070" s="111"/>
      <c r="Q1070" s="111"/>
      <c r="R1070" s="111"/>
      <c r="S1070" s="712"/>
      <c r="T1070" s="169" t="s">
        <v>946</v>
      </c>
      <c r="U1070" s="169" t="s">
        <v>946</v>
      </c>
      <c r="V1070" s="121" t="s">
        <v>809</v>
      </c>
      <c r="W1070" s="121" t="s">
        <v>791</v>
      </c>
      <c r="X1070" s="170">
        <f>'Assumptions TRC_AUN'!$I$175</f>
        <v>2872.5</v>
      </c>
      <c r="Y1070" s="200">
        <f t="shared" si="979"/>
        <v>10</v>
      </c>
      <c r="Z1070" s="167">
        <f t="shared" si="980"/>
        <v>28725</v>
      </c>
      <c r="AA1070" s="291">
        <f>'Assumptions TRC_AUN'!$I$175</f>
        <v>2872.5</v>
      </c>
      <c r="AB1070" s="292">
        <f t="shared" si="981"/>
        <v>10</v>
      </c>
      <c r="AC1070" s="293">
        <f t="shared" si="982"/>
        <v>28725</v>
      </c>
      <c r="AD1070" s="111"/>
      <c r="AE1070" s="111"/>
      <c r="AF1070" s="111"/>
      <c r="AG1070" s="67"/>
    </row>
    <row r="1071" spans="1:33">
      <c r="A1071" s="134"/>
      <c r="B1071" s="153">
        <v>8</v>
      </c>
      <c r="C1071" s="153"/>
      <c r="D1071" s="245" t="s">
        <v>1568</v>
      </c>
      <c r="E1071" s="153" t="s">
        <v>1191</v>
      </c>
      <c r="F1071" s="164">
        <v>3</v>
      </c>
      <c r="G1071" s="283">
        <f>'Assumptions TRC_AUN'!$I$174</f>
        <v>5745</v>
      </c>
      <c r="H1071" s="283">
        <f t="shared" si="977"/>
        <v>17235</v>
      </c>
      <c r="I1071" s="164">
        <f>'Assumptions TRC_AUN'!$I$174</f>
        <v>5745</v>
      </c>
      <c r="J1071" s="164">
        <f t="shared" si="978"/>
        <v>17235</v>
      </c>
      <c r="K1071" s="111"/>
      <c r="L1071" s="111"/>
      <c r="M1071" s="111"/>
      <c r="N1071" s="111"/>
      <c r="O1071" s="111"/>
      <c r="P1071" s="111"/>
      <c r="Q1071" s="111"/>
      <c r="R1071" s="111"/>
      <c r="S1071" s="712"/>
      <c r="T1071" s="169" t="s">
        <v>946</v>
      </c>
      <c r="U1071" s="169" t="s">
        <v>946</v>
      </c>
      <c r="V1071" s="121" t="s">
        <v>809</v>
      </c>
      <c r="W1071" s="121" t="s">
        <v>791</v>
      </c>
      <c r="X1071" s="170">
        <f>'Assumptions TRC_AUN'!$I$175</f>
        <v>2872.5</v>
      </c>
      <c r="Y1071" s="200">
        <f t="shared" si="979"/>
        <v>6</v>
      </c>
      <c r="Z1071" s="167">
        <f t="shared" si="980"/>
        <v>17235</v>
      </c>
      <c r="AA1071" s="291">
        <f>'Assumptions TRC_AUN'!$I$175</f>
        <v>2872.5</v>
      </c>
      <c r="AB1071" s="292">
        <f t="shared" si="981"/>
        <v>6</v>
      </c>
      <c r="AC1071" s="293">
        <f t="shared" si="982"/>
        <v>17235</v>
      </c>
      <c r="AD1071" s="111"/>
      <c r="AE1071" s="111"/>
      <c r="AF1071" s="111"/>
      <c r="AG1071" s="67"/>
    </row>
    <row r="1072" spans="1:33">
      <c r="A1072" s="134"/>
      <c r="B1072" s="153">
        <v>9</v>
      </c>
      <c r="C1072" s="153"/>
      <c r="D1072" s="245" t="s">
        <v>1569</v>
      </c>
      <c r="E1072" s="153" t="s">
        <v>1182</v>
      </c>
      <c r="F1072" s="164">
        <f>8*12</f>
        <v>96</v>
      </c>
      <c r="G1072" s="283">
        <f>'Assumptions HR_AUN'!$E$4</f>
        <v>11889</v>
      </c>
      <c r="H1072" s="283">
        <f t="shared" si="977"/>
        <v>1141344</v>
      </c>
      <c r="I1072" s="194">
        <f>'Assumptions HR_AUN'!$E$4</f>
        <v>11889</v>
      </c>
      <c r="J1072" s="164">
        <f t="shared" si="978"/>
        <v>1141344</v>
      </c>
      <c r="K1072" s="111"/>
      <c r="L1072" s="111"/>
      <c r="M1072" s="111"/>
      <c r="N1072" s="111"/>
      <c r="O1072" s="111"/>
      <c r="P1072" s="111"/>
      <c r="Q1072" s="111"/>
      <c r="R1072" s="111"/>
      <c r="S1072" s="712"/>
      <c r="T1072" s="169" t="s">
        <v>946</v>
      </c>
      <c r="U1072" s="169" t="s">
        <v>946</v>
      </c>
      <c r="V1072" s="121" t="s">
        <v>848</v>
      </c>
      <c r="W1072" s="164" t="s">
        <v>947</v>
      </c>
      <c r="X1072" s="170">
        <f>'Assumptions TRC_AUN'!$E$33</f>
        <v>3334</v>
      </c>
      <c r="Y1072" s="200">
        <f t="shared" si="979"/>
        <v>342.3347330533893</v>
      </c>
      <c r="Z1072" s="167">
        <f t="shared" si="980"/>
        <v>1141344</v>
      </c>
      <c r="AA1072" s="291">
        <f>'Assumptions TRC_AUN'!$E$33</f>
        <v>3334</v>
      </c>
      <c r="AB1072" s="292">
        <f t="shared" si="981"/>
        <v>342.3347330533893</v>
      </c>
      <c r="AC1072" s="293">
        <f t="shared" si="982"/>
        <v>1141344</v>
      </c>
      <c r="AD1072" s="111"/>
      <c r="AE1072" s="111"/>
      <c r="AF1072" s="111"/>
      <c r="AG1072" s="67"/>
    </row>
    <row r="1073" spans="1:33">
      <c r="A1073" s="134"/>
      <c r="B1073" s="153">
        <v>10</v>
      </c>
      <c r="C1073" s="121" t="s">
        <v>1001</v>
      </c>
      <c r="D1073" s="153"/>
      <c r="E1073" s="153"/>
      <c r="F1073" s="164"/>
      <c r="G1073" s="283"/>
      <c r="H1073" s="283">
        <f>SUM(H1064:H1072)*10%</f>
        <v>183667.25</v>
      </c>
      <c r="I1073" s="164"/>
      <c r="J1073" s="164">
        <f>SUM(J1064:J1072)*10%</f>
        <v>202023.66250000001</v>
      </c>
      <c r="K1073" s="132"/>
      <c r="L1073" s="111"/>
      <c r="M1073" s="111"/>
      <c r="N1073" s="111"/>
      <c r="O1073" s="111"/>
      <c r="P1073" s="111"/>
      <c r="Q1073" s="111"/>
      <c r="R1073" s="111"/>
      <c r="S1073" s="712"/>
      <c r="T1073" s="169" t="s">
        <v>946</v>
      </c>
      <c r="U1073" s="169" t="s">
        <v>946</v>
      </c>
      <c r="V1073" s="121" t="s">
        <v>875</v>
      </c>
      <c r="W1073" s="121" t="s">
        <v>961</v>
      </c>
      <c r="X1073" s="170">
        <f>'Assumptions HR_AUN'!$D$4*3</f>
        <v>88211.039066799218</v>
      </c>
      <c r="Y1073" s="200">
        <f t="shared" si="979"/>
        <v>2.2902310712723195</v>
      </c>
      <c r="Z1073" s="167">
        <f t="shared" si="980"/>
        <v>202023.66250000001</v>
      </c>
      <c r="AA1073" s="291">
        <f>'Assumptions HR_AUN'!$D$4*3</f>
        <v>88211.039066799218</v>
      </c>
      <c r="AB1073" s="292">
        <f t="shared" si="981"/>
        <v>2.0821345258263544</v>
      </c>
      <c r="AC1073" s="293">
        <f t="shared" si="982"/>
        <v>183667.25</v>
      </c>
      <c r="AD1073" s="111"/>
      <c r="AE1073" s="111"/>
      <c r="AF1073" s="111"/>
      <c r="AG1073" s="67"/>
    </row>
    <row r="1074" spans="1:33">
      <c r="A1074" s="134"/>
      <c r="B1074" s="153">
        <v>11</v>
      </c>
      <c r="C1074" s="121" t="s">
        <v>962</v>
      </c>
      <c r="D1074" s="153"/>
      <c r="E1074" s="153"/>
      <c r="F1074" s="221"/>
      <c r="G1074" s="283"/>
      <c r="H1074" s="283">
        <f>SUM(H1064:H1072)*15%</f>
        <v>275500.875</v>
      </c>
      <c r="I1074" s="164"/>
      <c r="J1074" s="164">
        <f>SUM(J1064:J1072)*15%</f>
        <v>303035.49374999997</v>
      </c>
      <c r="K1074" s="132"/>
      <c r="L1074" s="111"/>
      <c r="M1074" s="111"/>
      <c r="N1074" s="111"/>
      <c r="O1074" s="111"/>
      <c r="P1074" s="111"/>
      <c r="Q1074" s="111"/>
      <c r="R1074" s="111"/>
      <c r="S1074" s="712"/>
      <c r="T1074" s="169" t="s">
        <v>946</v>
      </c>
      <c r="U1074" s="169" t="s">
        <v>946</v>
      </c>
      <c r="V1074" s="121" t="s">
        <v>881</v>
      </c>
      <c r="W1074" s="121" t="s">
        <v>964</v>
      </c>
      <c r="X1074" s="170">
        <f>J1074/4</f>
        <v>75758.873437499991</v>
      </c>
      <c r="Y1074" s="200">
        <f t="shared" si="979"/>
        <v>4</v>
      </c>
      <c r="Z1074" s="167">
        <f t="shared" si="980"/>
        <v>303035.49374999997</v>
      </c>
      <c r="AA1074" s="291">
        <f>H1074/4</f>
        <v>68875.21875</v>
      </c>
      <c r="AB1074" s="292">
        <f t="shared" si="981"/>
        <v>4</v>
      </c>
      <c r="AC1074" s="293">
        <f t="shared" si="982"/>
        <v>275500.875</v>
      </c>
      <c r="AD1074" s="111"/>
      <c r="AE1074" s="111"/>
      <c r="AF1074" s="111"/>
      <c r="AG1074" s="67"/>
    </row>
    <row r="1075" spans="1:33">
      <c r="A1075" s="134"/>
      <c r="B1075" s="186"/>
      <c r="C1075" s="186" t="s">
        <v>770</v>
      </c>
      <c r="D1075" s="186"/>
      <c r="E1075" s="186"/>
      <c r="F1075" s="276"/>
      <c r="G1075" s="276"/>
      <c r="H1075" s="276">
        <f>SUM(H1064:H1074)</f>
        <v>2295840.625</v>
      </c>
      <c r="I1075" s="276"/>
      <c r="J1075" s="276">
        <f>SUM(J1064:J1074)</f>
        <v>2525295.78125</v>
      </c>
      <c r="K1075" s="111"/>
      <c r="L1075" s="111"/>
      <c r="M1075" s="111"/>
      <c r="N1075" s="111"/>
      <c r="O1075" s="111"/>
      <c r="P1075" s="111"/>
      <c r="Q1075" s="111"/>
      <c r="R1075" s="111"/>
      <c r="S1075" s="712"/>
      <c r="T1075" s="111"/>
      <c r="U1075" s="111"/>
      <c r="V1075" s="67"/>
      <c r="W1075" s="111"/>
      <c r="X1075" s="132"/>
      <c r="Y1075" s="111"/>
      <c r="Z1075" s="111"/>
      <c r="AA1075" s="111"/>
      <c r="AB1075" s="111"/>
      <c r="AC1075" s="132"/>
      <c r="AD1075" s="111"/>
      <c r="AE1075" s="111"/>
      <c r="AF1075" s="111"/>
      <c r="AG1075" s="67"/>
    </row>
    <row r="1076" spans="1:33">
      <c r="A1076" s="9"/>
      <c r="B1076" s="215"/>
      <c r="C1076" s="215"/>
      <c r="D1076" s="215"/>
      <c r="E1076" s="215"/>
      <c r="F1076" s="215"/>
      <c r="G1076" s="215"/>
      <c r="H1076" s="215"/>
      <c r="I1076" s="215"/>
      <c r="J1076" s="215"/>
      <c r="K1076" s="215"/>
      <c r="L1076" s="111"/>
      <c r="M1076" s="111"/>
      <c r="N1076" s="111"/>
      <c r="O1076" s="111"/>
      <c r="P1076" s="111"/>
      <c r="Q1076" s="111"/>
      <c r="R1076" s="111"/>
      <c r="S1076" s="712"/>
      <c r="T1076" s="111"/>
      <c r="U1076" s="111"/>
      <c r="V1076" s="67"/>
      <c r="W1076" s="111"/>
      <c r="X1076" s="132"/>
      <c r="Y1076" s="133"/>
      <c r="Z1076" s="132"/>
      <c r="AA1076" s="132"/>
      <c r="AB1076" s="133"/>
      <c r="AC1076" s="132"/>
      <c r="AD1076" s="132"/>
      <c r="AE1076" s="133"/>
      <c r="AF1076" s="132"/>
      <c r="AG1076" s="67"/>
    </row>
    <row r="1077" spans="1:33">
      <c r="A1077" s="9"/>
      <c r="B1077" s="215"/>
      <c r="C1077" s="215"/>
      <c r="D1077" s="215"/>
      <c r="E1077" s="215"/>
      <c r="F1077" s="215"/>
      <c r="G1077" s="215"/>
      <c r="H1077" s="215"/>
      <c r="I1077" s="215"/>
      <c r="J1077" s="215"/>
      <c r="K1077" s="215"/>
      <c r="L1077" s="111"/>
      <c r="M1077" s="111"/>
      <c r="N1077" s="111"/>
      <c r="O1077" s="111"/>
      <c r="P1077" s="111"/>
      <c r="Q1077" s="111"/>
      <c r="R1077" s="111"/>
      <c r="S1077" s="712"/>
      <c r="T1077" s="111"/>
      <c r="U1077" s="111"/>
      <c r="V1077" s="67"/>
      <c r="W1077" s="111"/>
      <c r="X1077" s="132"/>
      <c r="Y1077" s="133"/>
      <c r="Z1077" s="132"/>
      <c r="AA1077" s="132"/>
      <c r="AB1077" s="133"/>
      <c r="AC1077" s="132"/>
      <c r="AD1077" s="132"/>
      <c r="AE1077" s="133"/>
      <c r="AF1077" s="132"/>
      <c r="AG1077" s="67"/>
    </row>
    <row r="1078" spans="1:33">
      <c r="A1078" s="725">
        <v>61</v>
      </c>
      <c r="B1078" s="726" t="e" vm="1">
        <f>'[2]AUN Budget'!E277</f>
        <v>#VALUE!</v>
      </c>
      <c r="C1078" s="731"/>
      <c r="D1078" s="731"/>
      <c r="E1078" s="731"/>
      <c r="F1078" s="731"/>
      <c r="G1078" s="731"/>
      <c r="H1078" s="731"/>
      <c r="I1078" s="111"/>
      <c r="J1078" s="111"/>
      <c r="K1078" s="111"/>
      <c r="L1078" s="111"/>
      <c r="M1078" s="111"/>
      <c r="N1078" s="111"/>
      <c r="O1078" s="111"/>
      <c r="P1078" s="111"/>
      <c r="Q1078" s="111"/>
      <c r="R1078" s="111"/>
      <c r="S1078" s="712"/>
      <c r="T1078" s="111"/>
      <c r="U1078" s="111"/>
      <c r="V1078" s="67"/>
      <c r="W1078" s="111"/>
      <c r="X1078" s="132"/>
      <c r="Y1078" s="111"/>
      <c r="Z1078" s="111"/>
      <c r="AA1078" s="111"/>
      <c r="AB1078" s="111"/>
      <c r="AC1078" s="111"/>
      <c r="AD1078" s="111"/>
      <c r="AE1078" s="111"/>
      <c r="AF1078" s="111"/>
      <c r="AG1078" s="67"/>
    </row>
    <row r="1079" spans="1:33">
      <c r="A1079" s="134" t="s">
        <v>194</v>
      </c>
      <c r="B1079" s="113" t="s">
        <v>755</v>
      </c>
      <c r="C1079" s="113" t="s">
        <v>1304</v>
      </c>
      <c r="D1079" s="113" t="s">
        <v>1305</v>
      </c>
      <c r="E1079" s="113" t="s">
        <v>697</v>
      </c>
      <c r="F1079" s="113" t="s">
        <v>1476</v>
      </c>
      <c r="G1079" s="113" t="s">
        <v>1477</v>
      </c>
      <c r="H1079" s="113" t="s">
        <v>1478</v>
      </c>
      <c r="I1079" s="111"/>
      <c r="J1079" s="111"/>
      <c r="K1079" s="111"/>
      <c r="L1079" s="111"/>
      <c r="M1079" s="111"/>
      <c r="N1079" s="111"/>
      <c r="O1079" s="111"/>
      <c r="P1079" s="111"/>
      <c r="Q1079" s="111"/>
      <c r="R1079" s="111"/>
      <c r="S1079" s="712"/>
      <c r="T1079" s="159" t="s">
        <v>387</v>
      </c>
      <c r="U1079" s="159" t="s">
        <v>388</v>
      </c>
      <c r="V1079" s="160" t="s">
        <v>934</v>
      </c>
      <c r="W1079" s="160" t="s">
        <v>935</v>
      </c>
      <c r="X1079" s="161" t="s">
        <v>936</v>
      </c>
      <c r="Y1079" s="162" t="s">
        <v>937</v>
      </c>
      <c r="Z1079" s="161" t="s">
        <v>938</v>
      </c>
      <c r="AA1079" s="111"/>
      <c r="AB1079" s="111"/>
      <c r="AC1079" s="111"/>
      <c r="AD1079" s="111"/>
      <c r="AE1079" s="111"/>
      <c r="AF1079" s="111"/>
      <c r="AG1079" s="67"/>
    </row>
    <row r="1080" spans="1:33">
      <c r="A1080" s="134"/>
      <c r="B1080" s="153">
        <v>1</v>
      </c>
      <c r="C1080" s="153"/>
      <c r="D1080" s="245" t="s">
        <v>1570</v>
      </c>
      <c r="E1080" s="153" t="s">
        <v>949</v>
      </c>
      <c r="F1080" s="164">
        <v>10</v>
      </c>
      <c r="G1080" s="164">
        <f>'Assumptions TRC_AUN'!$J$90</f>
        <v>10982.125</v>
      </c>
      <c r="H1080" s="164">
        <f t="shared" ref="H1080:H1092" si="983">$F1080*G1080</f>
        <v>109821.25</v>
      </c>
      <c r="I1080" s="111"/>
      <c r="J1080" s="151"/>
      <c r="K1080" s="111"/>
      <c r="L1080" s="111"/>
      <c r="M1080" s="111"/>
      <c r="N1080" s="111"/>
      <c r="O1080" s="111"/>
      <c r="P1080" s="111"/>
      <c r="Q1080" s="111"/>
      <c r="R1080" s="111"/>
      <c r="S1080" s="712"/>
      <c r="T1080" s="169" t="s">
        <v>946</v>
      </c>
      <c r="U1080" s="169" t="s">
        <v>946</v>
      </c>
      <c r="V1080" s="121" t="s">
        <v>950</v>
      </c>
      <c r="W1080" s="121" t="s">
        <v>951</v>
      </c>
      <c r="X1080" s="170">
        <f>'Assumptions TRC_AUN'!$J$91</f>
        <v>549.10625000000005</v>
      </c>
      <c r="Y1080" s="200">
        <f t="shared" ref="Y1080:Y1094" si="984">Z1080/X1080</f>
        <v>199.99999999999997</v>
      </c>
      <c r="Z1080" s="167">
        <f t="shared" ref="Z1080:Z1094" si="985">H1080</f>
        <v>109821.25</v>
      </c>
      <c r="AA1080" s="111"/>
      <c r="AB1080" s="111"/>
      <c r="AC1080" s="111"/>
      <c r="AD1080" s="111"/>
      <c r="AE1080" s="111"/>
      <c r="AF1080" s="111"/>
      <c r="AG1080" s="67"/>
    </row>
    <row r="1081" spans="1:33">
      <c r="A1081" s="134"/>
      <c r="B1081" s="153">
        <v>2</v>
      </c>
      <c r="C1081" s="153"/>
      <c r="D1081" s="245" t="s">
        <v>1571</v>
      </c>
      <c r="E1081" s="153" t="s">
        <v>764</v>
      </c>
      <c r="F1081" s="164">
        <v>140</v>
      </c>
      <c r="G1081" s="164">
        <f>'Assumptions TRC_AUN'!$E$33</f>
        <v>3334</v>
      </c>
      <c r="H1081" s="164">
        <f t="shared" si="983"/>
        <v>466760</v>
      </c>
      <c r="I1081" s="111"/>
      <c r="J1081" s="151"/>
      <c r="K1081" s="111"/>
      <c r="L1081" s="111"/>
      <c r="M1081" s="111"/>
      <c r="N1081" s="111"/>
      <c r="O1081" s="111"/>
      <c r="P1081" s="111"/>
      <c r="Q1081" s="111"/>
      <c r="R1081" s="111"/>
      <c r="S1081" s="712"/>
      <c r="T1081" s="169" t="s">
        <v>946</v>
      </c>
      <c r="U1081" s="169" t="s">
        <v>946</v>
      </c>
      <c r="V1081" s="121" t="s">
        <v>848</v>
      </c>
      <c r="W1081" s="164" t="s">
        <v>947</v>
      </c>
      <c r="X1081" s="170">
        <f>'Assumptions TRC_AUN'!$E$33</f>
        <v>3334</v>
      </c>
      <c r="Y1081" s="200">
        <f t="shared" si="984"/>
        <v>140</v>
      </c>
      <c r="Z1081" s="167">
        <f t="shared" si="985"/>
        <v>466760</v>
      </c>
      <c r="AA1081" s="111"/>
      <c r="AB1081" s="111"/>
      <c r="AC1081" s="111"/>
      <c r="AD1081" s="111"/>
      <c r="AE1081" s="111"/>
      <c r="AF1081" s="111"/>
      <c r="AG1081" s="67"/>
    </row>
    <row r="1082" spans="1:33">
      <c r="A1082" s="134"/>
      <c r="B1082" s="153">
        <v>3</v>
      </c>
      <c r="C1082" s="153"/>
      <c r="D1082" s="245" t="s">
        <v>1572</v>
      </c>
      <c r="E1082" s="153" t="s">
        <v>949</v>
      </c>
      <c r="F1082" s="164">
        <v>1</v>
      </c>
      <c r="G1082" s="164">
        <f>'Assumptions TRC_AUN'!$J$71</f>
        <v>52696.125</v>
      </c>
      <c r="H1082" s="164">
        <f t="shared" si="983"/>
        <v>52696.125</v>
      </c>
      <c r="I1082" s="111"/>
      <c r="J1082" s="151"/>
      <c r="K1082" s="111"/>
      <c r="L1082" s="111"/>
      <c r="M1082" s="111"/>
      <c r="N1082" s="111"/>
      <c r="O1082" s="111"/>
      <c r="P1082" s="111"/>
      <c r="Q1082" s="111"/>
      <c r="R1082" s="111"/>
      <c r="S1082" s="712"/>
      <c r="T1082" s="169" t="s">
        <v>946</v>
      </c>
      <c r="U1082" s="169" t="s">
        <v>946</v>
      </c>
      <c r="V1082" s="121" t="s">
        <v>950</v>
      </c>
      <c r="W1082" s="121" t="s">
        <v>951</v>
      </c>
      <c r="X1082" s="170">
        <f>'Assumptions TRC_AUN'!$J$72</f>
        <v>878.26874999999995</v>
      </c>
      <c r="Y1082" s="200">
        <f t="shared" si="984"/>
        <v>60</v>
      </c>
      <c r="Z1082" s="167">
        <f t="shared" si="985"/>
        <v>52696.125</v>
      </c>
      <c r="AA1082" s="111"/>
      <c r="AB1082" s="111"/>
      <c r="AC1082" s="111"/>
      <c r="AD1082" s="111"/>
      <c r="AE1082" s="111"/>
      <c r="AF1082" s="111"/>
      <c r="AG1082" s="67"/>
    </row>
    <row r="1083" spans="1:33">
      <c r="A1083" s="134"/>
      <c r="B1083" s="153">
        <v>4</v>
      </c>
      <c r="C1083" s="153"/>
      <c r="D1083" s="245" t="s">
        <v>1573</v>
      </c>
      <c r="E1083" s="153" t="s">
        <v>1555</v>
      </c>
      <c r="F1083" s="164">
        <v>1500</v>
      </c>
      <c r="G1083" s="164">
        <v>25</v>
      </c>
      <c r="H1083" s="164">
        <f t="shared" si="983"/>
        <v>37500</v>
      </c>
      <c r="I1083" s="111"/>
      <c r="J1083" s="151"/>
      <c r="K1083" s="111"/>
      <c r="L1083" s="111"/>
      <c r="M1083" s="111"/>
      <c r="N1083" s="111"/>
      <c r="O1083" s="111"/>
      <c r="P1083" s="111"/>
      <c r="Q1083" s="111"/>
      <c r="R1083" s="111"/>
      <c r="S1083" s="712"/>
      <c r="T1083" s="169" t="s">
        <v>946</v>
      </c>
      <c r="U1083" s="169" t="s">
        <v>946</v>
      </c>
      <c r="V1083" s="121" t="s">
        <v>1000</v>
      </c>
      <c r="W1083" s="121" t="s">
        <v>789</v>
      </c>
      <c r="X1083" s="170">
        <f>G1083</f>
        <v>25</v>
      </c>
      <c r="Y1083" s="200">
        <f t="shared" si="984"/>
        <v>1500</v>
      </c>
      <c r="Z1083" s="167">
        <f t="shared" si="985"/>
        <v>37500</v>
      </c>
      <c r="AA1083" s="111"/>
      <c r="AB1083" s="111"/>
      <c r="AC1083" s="111"/>
      <c r="AD1083" s="111"/>
      <c r="AE1083" s="111"/>
      <c r="AF1083" s="111"/>
      <c r="AG1083" s="67"/>
    </row>
    <row r="1084" spans="1:33">
      <c r="A1084" s="134"/>
      <c r="B1084" s="153">
        <v>5</v>
      </c>
      <c r="C1084" s="153"/>
      <c r="D1084" s="245" t="s">
        <v>1574</v>
      </c>
      <c r="E1084" s="153" t="s">
        <v>764</v>
      </c>
      <c r="F1084" s="164">
        <v>24</v>
      </c>
      <c r="G1084" s="164">
        <f>'Assumptions TRC_AUN'!$E$33</f>
        <v>3334</v>
      </c>
      <c r="H1084" s="164">
        <f t="shared" si="983"/>
        <v>80016</v>
      </c>
      <c r="I1084" s="111"/>
      <c r="J1084" s="151"/>
      <c r="K1084" s="111"/>
      <c r="L1084" s="111"/>
      <c r="M1084" s="111"/>
      <c r="N1084" s="111"/>
      <c r="O1084" s="111"/>
      <c r="P1084" s="111"/>
      <c r="Q1084" s="111"/>
      <c r="R1084" s="111"/>
      <c r="S1084" s="712"/>
      <c r="T1084" s="169" t="s">
        <v>946</v>
      </c>
      <c r="U1084" s="169" t="s">
        <v>946</v>
      </c>
      <c r="V1084" s="121" t="s">
        <v>848</v>
      </c>
      <c r="W1084" s="164" t="s">
        <v>947</v>
      </c>
      <c r="X1084" s="170">
        <f>'Assumptions TRC_AUN'!$E$33</f>
        <v>3334</v>
      </c>
      <c r="Y1084" s="200">
        <f t="shared" si="984"/>
        <v>24</v>
      </c>
      <c r="Z1084" s="167">
        <f t="shared" si="985"/>
        <v>80016</v>
      </c>
      <c r="AA1084" s="111"/>
      <c r="AB1084" s="111"/>
      <c r="AC1084" s="111"/>
      <c r="AD1084" s="111"/>
      <c r="AE1084" s="111"/>
      <c r="AF1084" s="111"/>
      <c r="AG1084" s="67"/>
    </row>
    <row r="1085" spans="1:33">
      <c r="A1085" s="134"/>
      <c r="B1085" s="153">
        <v>6</v>
      </c>
      <c r="C1085" s="153"/>
      <c r="D1085" s="245" t="s">
        <v>1565</v>
      </c>
      <c r="E1085" s="153" t="s">
        <v>949</v>
      </c>
      <c r="F1085" s="164">
        <v>2</v>
      </c>
      <c r="G1085" s="164">
        <f>'Assumptions TRC_AUN'!$J$90</f>
        <v>10982.125</v>
      </c>
      <c r="H1085" s="164">
        <f t="shared" si="983"/>
        <v>21964.25</v>
      </c>
      <c r="I1085" s="111"/>
      <c r="J1085" s="151"/>
      <c r="K1085" s="111"/>
      <c r="L1085" s="111"/>
      <c r="M1085" s="111"/>
      <c r="N1085" s="111"/>
      <c r="O1085" s="111"/>
      <c r="P1085" s="111"/>
      <c r="Q1085" s="111"/>
      <c r="R1085" s="111"/>
      <c r="S1085" s="712"/>
      <c r="T1085" s="169" t="s">
        <v>946</v>
      </c>
      <c r="U1085" s="169" t="s">
        <v>946</v>
      </c>
      <c r="V1085" s="121" t="s">
        <v>950</v>
      </c>
      <c r="W1085" s="121" t="s">
        <v>951</v>
      </c>
      <c r="X1085" s="170">
        <f>'Assumptions TRC_AUN'!$J$91</f>
        <v>549.10625000000005</v>
      </c>
      <c r="Y1085" s="200">
        <f t="shared" si="984"/>
        <v>40</v>
      </c>
      <c r="Z1085" s="167">
        <f t="shared" si="985"/>
        <v>21964.25</v>
      </c>
      <c r="AA1085" s="111"/>
      <c r="AB1085" s="111"/>
      <c r="AC1085" s="111"/>
      <c r="AD1085" s="111"/>
      <c r="AE1085" s="111"/>
      <c r="AF1085" s="111"/>
      <c r="AG1085" s="67"/>
    </row>
    <row r="1086" spans="1:33">
      <c r="A1086" s="134"/>
      <c r="B1086" s="153">
        <v>7</v>
      </c>
      <c r="C1086" s="153"/>
      <c r="D1086" s="245" t="s">
        <v>1575</v>
      </c>
      <c r="E1086" s="153" t="s">
        <v>949</v>
      </c>
      <c r="F1086" s="164">
        <v>1</v>
      </c>
      <c r="G1086" s="164">
        <f>'Assumptions TRC_AUN'!$J$71</f>
        <v>52696.125</v>
      </c>
      <c r="H1086" s="164">
        <f t="shared" si="983"/>
        <v>52696.125</v>
      </c>
      <c r="I1086" s="111"/>
      <c r="J1086" s="151"/>
      <c r="K1086" s="111"/>
      <c r="L1086" s="111"/>
      <c r="M1086" s="111"/>
      <c r="N1086" s="111"/>
      <c r="O1086" s="111"/>
      <c r="P1086" s="111"/>
      <c r="Q1086" s="111"/>
      <c r="R1086" s="111"/>
      <c r="S1086" s="712"/>
      <c r="T1086" s="169" t="s">
        <v>946</v>
      </c>
      <c r="U1086" s="169" t="s">
        <v>946</v>
      </c>
      <c r="V1086" s="121" t="s">
        <v>950</v>
      </c>
      <c r="W1086" s="121" t="s">
        <v>951</v>
      </c>
      <c r="X1086" s="170">
        <f>'Assumptions TRC_AUN'!$J$72</f>
        <v>878.26874999999995</v>
      </c>
      <c r="Y1086" s="200">
        <f t="shared" si="984"/>
        <v>60</v>
      </c>
      <c r="Z1086" s="167">
        <f t="shared" si="985"/>
        <v>52696.125</v>
      </c>
      <c r="AA1086" s="111"/>
      <c r="AB1086" s="111"/>
      <c r="AC1086" s="111"/>
      <c r="AD1086" s="111"/>
      <c r="AE1086" s="111"/>
      <c r="AF1086" s="111"/>
      <c r="AG1086" s="67"/>
    </row>
    <row r="1087" spans="1:33">
      <c r="A1087" s="134"/>
      <c r="B1087" s="153">
        <v>8</v>
      </c>
      <c r="C1087" s="153"/>
      <c r="D1087" s="245" t="s">
        <v>1576</v>
      </c>
      <c r="E1087" s="153" t="s">
        <v>764</v>
      </c>
      <c r="F1087" s="164">
        <v>2</v>
      </c>
      <c r="G1087" s="164">
        <f>'Assumptions TRC_AUN'!$E$33</f>
        <v>3334</v>
      </c>
      <c r="H1087" s="164">
        <f t="shared" si="983"/>
        <v>6668</v>
      </c>
      <c r="I1087" s="111"/>
      <c r="J1087" s="151"/>
      <c r="K1087" s="111"/>
      <c r="L1087" s="284" t="s">
        <v>1577</v>
      </c>
      <c r="M1087" s="111"/>
      <c r="N1087" s="111"/>
      <c r="O1087" s="111"/>
      <c r="P1087" s="111"/>
      <c r="Q1087" s="111"/>
      <c r="R1087" s="111"/>
      <c r="S1087" s="712"/>
      <c r="T1087" s="169" t="s">
        <v>946</v>
      </c>
      <c r="U1087" s="169" t="s">
        <v>946</v>
      </c>
      <c r="V1087" s="121" t="s">
        <v>848</v>
      </c>
      <c r="W1087" s="164" t="s">
        <v>947</v>
      </c>
      <c r="X1087" s="170">
        <f>'Assumptions TRC_AUN'!$E$33</f>
        <v>3334</v>
      </c>
      <c r="Y1087" s="200">
        <f t="shared" si="984"/>
        <v>2</v>
      </c>
      <c r="Z1087" s="167">
        <f t="shared" si="985"/>
        <v>6668</v>
      </c>
      <c r="AA1087" s="111"/>
      <c r="AB1087" s="111"/>
      <c r="AC1087" s="111"/>
      <c r="AD1087" s="111"/>
      <c r="AE1087" s="111"/>
      <c r="AF1087" s="111"/>
      <c r="AG1087" s="67"/>
    </row>
    <row r="1088" spans="1:33">
      <c r="A1088" s="134"/>
      <c r="B1088" s="153">
        <v>9</v>
      </c>
      <c r="C1088" s="153"/>
      <c r="D1088" s="245" t="s">
        <v>1578</v>
      </c>
      <c r="E1088" s="153" t="s">
        <v>764</v>
      </c>
      <c r="F1088" s="164">
        <v>280</v>
      </c>
      <c r="G1088" s="164">
        <f>'Assumptions TRC_AUN'!$E$33</f>
        <v>3334</v>
      </c>
      <c r="H1088" s="164">
        <f t="shared" si="983"/>
        <v>933520</v>
      </c>
      <c r="I1088" s="111"/>
      <c r="J1088" s="151"/>
      <c r="K1088" s="111"/>
      <c r="L1088" s="111"/>
      <c r="M1088" s="111"/>
      <c r="N1088" s="111"/>
      <c r="O1088" s="111"/>
      <c r="P1088" s="111"/>
      <c r="Q1088" s="111"/>
      <c r="R1088" s="111"/>
      <c r="S1088" s="712"/>
      <c r="T1088" s="169" t="s">
        <v>946</v>
      </c>
      <c r="U1088" s="169" t="s">
        <v>946</v>
      </c>
      <c r="V1088" s="121" t="s">
        <v>848</v>
      </c>
      <c r="W1088" s="164" t="s">
        <v>947</v>
      </c>
      <c r="X1088" s="170">
        <f>'Assumptions TRC_AUN'!$E$33</f>
        <v>3334</v>
      </c>
      <c r="Y1088" s="200">
        <f t="shared" si="984"/>
        <v>280</v>
      </c>
      <c r="Z1088" s="167">
        <f t="shared" si="985"/>
        <v>933520</v>
      </c>
      <c r="AA1088" s="111"/>
      <c r="AB1088" s="111"/>
      <c r="AC1088" s="111"/>
      <c r="AD1088" s="111"/>
      <c r="AE1088" s="111"/>
      <c r="AF1088" s="111"/>
      <c r="AG1088" s="67"/>
    </row>
    <row r="1089" spans="1:33">
      <c r="A1089" s="134"/>
      <c r="B1089" s="153">
        <v>10</v>
      </c>
      <c r="C1089" s="153"/>
      <c r="D1089" s="245" t="s">
        <v>1331</v>
      </c>
      <c r="E1089" s="153" t="s">
        <v>1191</v>
      </c>
      <c r="F1089" s="164">
        <v>4</v>
      </c>
      <c r="G1089" s="164">
        <f>'Assumptions TRC_AUN'!$I$174</f>
        <v>5745</v>
      </c>
      <c r="H1089" s="164">
        <f t="shared" si="983"/>
        <v>22980</v>
      </c>
      <c r="I1089" s="111"/>
      <c r="J1089" s="151"/>
      <c r="K1089" s="111"/>
      <c r="L1089" s="111"/>
      <c r="M1089" s="111"/>
      <c r="N1089" s="111"/>
      <c r="O1089" s="111"/>
      <c r="P1089" s="111"/>
      <c r="Q1089" s="111"/>
      <c r="R1089" s="111"/>
      <c r="S1089" s="712"/>
      <c r="T1089" s="169" t="s">
        <v>946</v>
      </c>
      <c r="U1089" s="169" t="s">
        <v>946</v>
      </c>
      <c r="V1089" s="121" t="s">
        <v>809</v>
      </c>
      <c r="W1089" s="121" t="s">
        <v>791</v>
      </c>
      <c r="X1089" s="170">
        <f>'Assumptions TRC_AUN'!$I$175</f>
        <v>2872.5</v>
      </c>
      <c r="Y1089" s="200">
        <f t="shared" si="984"/>
        <v>8</v>
      </c>
      <c r="Z1089" s="167">
        <f t="shared" si="985"/>
        <v>22980</v>
      </c>
      <c r="AA1089" s="111"/>
      <c r="AB1089" s="111"/>
      <c r="AC1089" s="111"/>
      <c r="AD1089" s="111"/>
      <c r="AE1089" s="111"/>
      <c r="AF1089" s="111"/>
      <c r="AG1089" s="67"/>
    </row>
    <row r="1090" spans="1:33">
      <c r="A1090" s="134"/>
      <c r="B1090" s="153">
        <v>11</v>
      </c>
      <c r="C1090" s="153"/>
      <c r="D1090" s="245" t="s">
        <v>1579</v>
      </c>
      <c r="E1090" s="153" t="s">
        <v>764</v>
      </c>
      <c r="F1090" s="164">
        <v>5</v>
      </c>
      <c r="G1090" s="164">
        <f>'Assumptions TRC_AUN'!$E$33</f>
        <v>3334</v>
      </c>
      <c r="H1090" s="164">
        <f t="shared" si="983"/>
        <v>16670</v>
      </c>
      <c r="I1090" s="111"/>
      <c r="J1090" s="151"/>
      <c r="K1090" s="111"/>
      <c r="L1090" s="111"/>
      <c r="M1090" s="111"/>
      <c r="N1090" s="111"/>
      <c r="O1090" s="111"/>
      <c r="P1090" s="111"/>
      <c r="Q1090" s="111"/>
      <c r="R1090" s="111"/>
      <c r="S1090" s="712"/>
      <c r="T1090" s="169" t="s">
        <v>946</v>
      </c>
      <c r="U1090" s="169" t="s">
        <v>946</v>
      </c>
      <c r="V1090" s="121" t="s">
        <v>848</v>
      </c>
      <c r="W1090" s="164" t="s">
        <v>947</v>
      </c>
      <c r="X1090" s="170">
        <f>'Assumptions TRC_AUN'!$E$33</f>
        <v>3334</v>
      </c>
      <c r="Y1090" s="200">
        <f t="shared" si="984"/>
        <v>5</v>
      </c>
      <c r="Z1090" s="167">
        <f t="shared" si="985"/>
        <v>16670</v>
      </c>
      <c r="AA1090" s="111"/>
      <c r="AB1090" s="111"/>
      <c r="AC1090" s="111"/>
      <c r="AD1090" s="111"/>
      <c r="AE1090" s="111"/>
      <c r="AF1090" s="111"/>
      <c r="AG1090" s="67"/>
    </row>
    <row r="1091" spans="1:33">
      <c r="A1091" s="134"/>
      <c r="B1091" s="153">
        <v>12</v>
      </c>
      <c r="C1091" s="153"/>
      <c r="D1091" s="245" t="s">
        <v>1580</v>
      </c>
      <c r="E1091" s="153" t="s">
        <v>949</v>
      </c>
      <c r="F1091" s="164">
        <v>1</v>
      </c>
      <c r="G1091" s="164">
        <f>'Assumptions TRC_AUN'!$J$71</f>
        <v>52696.125</v>
      </c>
      <c r="H1091" s="164">
        <f t="shared" si="983"/>
        <v>52696.125</v>
      </c>
      <c r="I1091" s="111"/>
      <c r="J1091" s="151"/>
      <c r="K1091" s="111"/>
      <c r="L1091" s="111"/>
      <c r="M1091" s="111"/>
      <c r="N1091" s="111"/>
      <c r="O1091" s="111"/>
      <c r="P1091" s="111"/>
      <c r="Q1091" s="111"/>
      <c r="R1091" s="111"/>
      <c r="S1091" s="712"/>
      <c r="T1091" s="169" t="s">
        <v>946</v>
      </c>
      <c r="U1091" s="169" t="s">
        <v>946</v>
      </c>
      <c r="V1091" s="121" t="s">
        <v>950</v>
      </c>
      <c r="W1091" s="121" t="s">
        <v>951</v>
      </c>
      <c r="X1091" s="170">
        <f>'Assumptions TRC_AUN'!$J$72</f>
        <v>878.26874999999995</v>
      </c>
      <c r="Y1091" s="200">
        <f t="shared" si="984"/>
        <v>60</v>
      </c>
      <c r="Z1091" s="167">
        <f t="shared" si="985"/>
        <v>52696.125</v>
      </c>
      <c r="AA1091" s="111"/>
      <c r="AB1091" s="111"/>
      <c r="AC1091" s="111"/>
      <c r="AD1091" s="111"/>
      <c r="AE1091" s="111"/>
      <c r="AF1091" s="111"/>
      <c r="AG1091" s="67"/>
    </row>
    <row r="1092" spans="1:33">
      <c r="A1092" s="134"/>
      <c r="B1092" s="153">
        <v>13</v>
      </c>
      <c r="C1092" s="153"/>
      <c r="D1092" s="245" t="s">
        <v>1581</v>
      </c>
      <c r="E1092" s="153" t="s">
        <v>1555</v>
      </c>
      <c r="F1092" s="164">
        <v>1000</v>
      </c>
      <c r="G1092" s="164">
        <v>25</v>
      </c>
      <c r="H1092" s="164">
        <f t="shared" si="983"/>
        <v>25000</v>
      </c>
      <c r="I1092" s="111"/>
      <c r="J1092" s="151"/>
      <c r="K1092" s="111"/>
      <c r="L1092" s="111"/>
      <c r="M1092" s="111"/>
      <c r="N1092" s="111"/>
      <c r="O1092" s="111"/>
      <c r="P1092" s="111"/>
      <c r="Q1092" s="111"/>
      <c r="R1092" s="111"/>
      <c r="S1092" s="712"/>
      <c r="T1092" s="169" t="s">
        <v>946</v>
      </c>
      <c r="U1092" s="169" t="s">
        <v>946</v>
      </c>
      <c r="V1092" s="121" t="s">
        <v>1000</v>
      </c>
      <c r="W1092" s="121" t="s">
        <v>789</v>
      </c>
      <c r="X1092" s="170">
        <f>G1092</f>
        <v>25</v>
      </c>
      <c r="Y1092" s="200">
        <f t="shared" si="984"/>
        <v>1000</v>
      </c>
      <c r="Z1092" s="167">
        <f t="shared" si="985"/>
        <v>25000</v>
      </c>
      <c r="AA1092" s="111"/>
      <c r="AB1092" s="111"/>
      <c r="AC1092" s="111"/>
      <c r="AD1092" s="111"/>
      <c r="AE1092" s="111"/>
      <c r="AF1092" s="111"/>
      <c r="AG1092" s="67"/>
    </row>
    <row r="1093" spans="1:33">
      <c r="A1093" s="134"/>
      <c r="B1093" s="153">
        <v>14</v>
      </c>
      <c r="C1093" s="121" t="s">
        <v>1001</v>
      </c>
      <c r="D1093" s="153"/>
      <c r="E1093" s="153"/>
      <c r="F1093" s="221"/>
      <c r="G1093" s="164"/>
      <c r="H1093" s="164">
        <f>SUM(H1080:H1092)*10%</f>
        <v>187898.78750000001</v>
      </c>
      <c r="I1093" s="111"/>
      <c r="J1093" s="151"/>
      <c r="K1093" s="111"/>
      <c r="L1093" s="111"/>
      <c r="M1093" s="111"/>
      <c r="N1093" s="111"/>
      <c r="O1093" s="111"/>
      <c r="P1093" s="111"/>
      <c r="Q1093" s="111"/>
      <c r="R1093" s="111"/>
      <c r="S1093" s="712"/>
      <c r="T1093" s="169" t="s">
        <v>946</v>
      </c>
      <c r="U1093" s="169" t="s">
        <v>946</v>
      </c>
      <c r="V1093" s="121" t="s">
        <v>875</v>
      </c>
      <c r="W1093" s="121" t="s">
        <v>961</v>
      </c>
      <c r="X1093" s="170">
        <f>'Assumptions HR_AUN'!$D$4*3</f>
        <v>88211.039066799218</v>
      </c>
      <c r="Y1093" s="200">
        <f t="shared" si="984"/>
        <v>2.1301051374954403</v>
      </c>
      <c r="Z1093" s="167">
        <f t="shared" si="985"/>
        <v>187898.78750000001</v>
      </c>
      <c r="AA1093" s="111"/>
      <c r="AB1093" s="111"/>
      <c r="AC1093" s="111"/>
      <c r="AD1093" s="111"/>
      <c r="AE1093" s="111"/>
      <c r="AF1093" s="111"/>
      <c r="AG1093" s="67"/>
    </row>
    <row r="1094" spans="1:33">
      <c r="A1094" s="134"/>
      <c r="B1094" s="153">
        <v>15</v>
      </c>
      <c r="C1094" s="121" t="s">
        <v>962</v>
      </c>
      <c r="D1094" s="153"/>
      <c r="E1094" s="153"/>
      <c r="F1094" s="221"/>
      <c r="G1094" s="164"/>
      <c r="H1094" s="164">
        <f>SUM(H1080:H1092)*15%</f>
        <v>281848.18124999997</v>
      </c>
      <c r="I1094" s="111"/>
      <c r="J1094" s="151"/>
      <c r="K1094" s="111"/>
      <c r="L1094" s="111"/>
      <c r="M1094" s="111"/>
      <c r="N1094" s="111"/>
      <c r="O1094" s="111"/>
      <c r="P1094" s="111"/>
      <c r="Q1094" s="111"/>
      <c r="R1094" s="111"/>
      <c r="S1094" s="712"/>
      <c r="T1094" s="169" t="s">
        <v>946</v>
      </c>
      <c r="U1094" s="169" t="s">
        <v>946</v>
      </c>
      <c r="V1094" s="121" t="s">
        <v>881</v>
      </c>
      <c r="W1094" s="121" t="s">
        <v>964</v>
      </c>
      <c r="X1094" s="170">
        <f>H1094/4</f>
        <v>70462.045312499991</v>
      </c>
      <c r="Y1094" s="200">
        <f t="shared" si="984"/>
        <v>4</v>
      </c>
      <c r="Z1094" s="167">
        <f t="shared" si="985"/>
        <v>281848.18124999997</v>
      </c>
      <c r="AA1094" s="111"/>
      <c r="AB1094" s="111"/>
      <c r="AC1094" s="111"/>
      <c r="AD1094" s="111"/>
      <c r="AE1094" s="111"/>
      <c r="AF1094" s="111"/>
      <c r="AG1094" s="67"/>
    </row>
    <row r="1095" spans="1:33">
      <c r="A1095" s="134"/>
      <c r="B1095" s="186"/>
      <c r="C1095" s="186" t="s">
        <v>770</v>
      </c>
      <c r="D1095" s="186"/>
      <c r="E1095" s="186"/>
      <c r="F1095" s="276"/>
      <c r="G1095" s="276"/>
      <c r="H1095" s="276">
        <f>SUM(H1080:H1094)</f>
        <v>2348734.84375</v>
      </c>
      <c r="I1095" s="111"/>
      <c r="J1095" s="111"/>
      <c r="K1095" s="111"/>
      <c r="L1095" s="111"/>
      <c r="M1095" s="111"/>
      <c r="N1095" s="111"/>
      <c r="O1095" s="111"/>
      <c r="P1095" s="111"/>
      <c r="Q1095" s="111"/>
      <c r="R1095" s="111"/>
      <c r="S1095" s="712"/>
      <c r="T1095" s="111"/>
      <c r="U1095" s="111"/>
      <c r="V1095" s="67"/>
      <c r="W1095" s="111"/>
      <c r="X1095" s="132"/>
      <c r="Y1095" s="111"/>
      <c r="Z1095" s="132">
        <f>SUM(Z1080:Z1094)/25.8305</f>
        <v>90928.740974816596</v>
      </c>
      <c r="AA1095" s="111"/>
      <c r="AB1095" s="111"/>
      <c r="AC1095" s="111"/>
      <c r="AD1095" s="111"/>
      <c r="AE1095" s="111"/>
      <c r="AF1095" s="111"/>
      <c r="AG1095" s="67"/>
    </row>
    <row r="1096" spans="1:33">
      <c r="A1096" s="9"/>
      <c r="B1096" s="215"/>
      <c r="C1096" s="215"/>
      <c r="D1096" s="215"/>
      <c r="E1096" s="215"/>
      <c r="F1096" s="215"/>
      <c r="G1096" s="215"/>
      <c r="H1096" s="215"/>
      <c r="I1096" s="215"/>
      <c r="J1096" s="215"/>
      <c r="K1096" s="215"/>
      <c r="L1096" s="111"/>
      <c r="M1096" s="111"/>
      <c r="N1096" s="111"/>
      <c r="O1096" s="111"/>
      <c r="P1096" s="111"/>
      <c r="Q1096" s="111"/>
      <c r="R1096" s="111"/>
      <c r="S1096" s="712"/>
      <c r="T1096" s="111"/>
      <c r="U1096" s="111"/>
      <c r="V1096" s="67"/>
      <c r="W1096" s="111"/>
      <c r="X1096" s="132"/>
      <c r="Y1096" s="133"/>
      <c r="Z1096" s="132"/>
      <c r="AA1096" s="132"/>
      <c r="AB1096" s="133"/>
      <c r="AC1096" s="132"/>
      <c r="AD1096" s="132"/>
      <c r="AE1096" s="133"/>
      <c r="AF1096" s="132"/>
      <c r="AG1096" s="67"/>
    </row>
    <row r="1097" spans="1:33">
      <c r="A1097" s="725">
        <v>62</v>
      </c>
      <c r="B1097" s="726" t="e" vm="1">
        <f>'[2]AUN Budget'!$E$255</f>
        <v>#VALUE!</v>
      </c>
      <c r="C1097" s="731"/>
      <c r="D1097" s="731"/>
      <c r="E1097" s="731"/>
      <c r="F1097" s="731"/>
      <c r="G1097" s="731">
        <v>1.27</v>
      </c>
      <c r="H1097" s="731">
        <f>1.22+0.27</f>
        <v>1.49</v>
      </c>
      <c r="I1097" s="731"/>
      <c r="J1097" s="731"/>
      <c r="K1097" s="731"/>
      <c r="L1097" s="111"/>
      <c r="M1097" s="111"/>
      <c r="N1097" s="111"/>
      <c r="O1097" s="111"/>
      <c r="P1097" s="111"/>
      <c r="Q1097" s="111"/>
      <c r="R1097" s="111"/>
      <c r="S1097" s="712"/>
      <c r="T1097" s="111"/>
      <c r="U1097" s="111"/>
      <c r="V1097" s="67"/>
      <c r="W1097" s="111"/>
      <c r="X1097" s="132"/>
      <c r="Y1097" s="111"/>
      <c r="Z1097" s="111"/>
      <c r="AA1097" s="111"/>
      <c r="AB1097" s="111"/>
      <c r="AC1097" s="111"/>
      <c r="AD1097" s="111"/>
      <c r="AE1097" s="111"/>
      <c r="AF1097" s="111"/>
      <c r="AG1097" s="67"/>
    </row>
    <row r="1098" spans="1:33">
      <c r="A1098" s="134" t="s">
        <v>191</v>
      </c>
      <c r="B1098" s="113" t="s">
        <v>755</v>
      </c>
      <c r="C1098" s="113" t="s">
        <v>1304</v>
      </c>
      <c r="D1098" s="113" t="s">
        <v>1305</v>
      </c>
      <c r="E1098" s="113" t="s">
        <v>1388</v>
      </c>
      <c r="F1098" s="113" t="s">
        <v>1307</v>
      </c>
      <c r="G1098" s="113" t="s">
        <v>1308</v>
      </c>
      <c r="H1098" s="113" t="s">
        <v>1309</v>
      </c>
      <c r="I1098" s="113" t="s">
        <v>972</v>
      </c>
      <c r="J1098" s="113" t="s">
        <v>973</v>
      </c>
      <c r="K1098" s="113" t="s">
        <v>974</v>
      </c>
      <c r="L1098" s="111"/>
      <c r="M1098" s="111"/>
      <c r="N1098" s="111"/>
      <c r="O1098" s="111"/>
      <c r="P1098" s="111"/>
      <c r="Q1098" s="111"/>
      <c r="R1098" s="111"/>
      <c r="S1098" s="712"/>
      <c r="T1098" s="159" t="s">
        <v>387</v>
      </c>
      <c r="U1098" s="159" t="s">
        <v>388</v>
      </c>
      <c r="V1098" s="159" t="s">
        <v>934</v>
      </c>
      <c r="W1098" s="160" t="s">
        <v>935</v>
      </c>
      <c r="X1098" s="161" t="s">
        <v>936</v>
      </c>
      <c r="Y1098" s="162" t="s">
        <v>937</v>
      </c>
      <c r="Z1098" s="161" t="s">
        <v>938</v>
      </c>
      <c r="AA1098" s="161" t="s">
        <v>939</v>
      </c>
      <c r="AB1098" s="162" t="s">
        <v>940</v>
      </c>
      <c r="AC1098" s="161" t="s">
        <v>941</v>
      </c>
      <c r="AD1098" s="161" t="s">
        <v>942</v>
      </c>
      <c r="AE1098" s="162" t="s">
        <v>943</v>
      </c>
      <c r="AF1098" s="161" t="s">
        <v>944</v>
      </c>
      <c r="AG1098" s="67"/>
    </row>
    <row r="1099" spans="1:33">
      <c r="A1099" s="134"/>
      <c r="B1099" s="153">
        <v>1</v>
      </c>
      <c r="C1099" s="245"/>
      <c r="D1099" s="245" t="s">
        <v>1582</v>
      </c>
      <c r="E1099" s="164">
        <f>'Assumptions TRC_AUN'!$J$71</f>
        <v>52696.125</v>
      </c>
      <c r="F1099" s="164">
        <v>4</v>
      </c>
      <c r="G1099" s="164">
        <v>4</v>
      </c>
      <c r="H1099" s="164">
        <v>4</v>
      </c>
      <c r="I1099" s="164">
        <f t="shared" ref="I1099:K1099" si="986">$E1099*F1099</f>
        <v>210784.5</v>
      </c>
      <c r="J1099" s="164">
        <f t="shared" si="986"/>
        <v>210784.5</v>
      </c>
      <c r="K1099" s="164">
        <f t="shared" si="986"/>
        <v>210784.5</v>
      </c>
      <c r="L1099" s="111"/>
      <c r="M1099" s="111"/>
      <c r="N1099" s="111"/>
      <c r="O1099" s="111"/>
      <c r="P1099" s="111"/>
      <c r="Q1099" s="111"/>
      <c r="R1099" s="111"/>
      <c r="S1099" s="712"/>
      <c r="T1099" s="169" t="s">
        <v>946</v>
      </c>
      <c r="U1099" s="169" t="s">
        <v>946</v>
      </c>
      <c r="V1099" s="121" t="s">
        <v>950</v>
      </c>
      <c r="W1099" s="121" t="s">
        <v>951</v>
      </c>
      <c r="X1099" s="170">
        <f>'Assumptions TRC_AUN'!$J$72</f>
        <v>878.26874999999995</v>
      </c>
      <c r="Y1099" s="200">
        <f t="shared" ref="Y1099:Y1101" si="987">Z1099/X1099</f>
        <v>240</v>
      </c>
      <c r="Z1099" s="167">
        <f t="shared" ref="Z1099:Z1101" si="988">I1099</f>
        <v>210784.5</v>
      </c>
      <c r="AA1099" s="170">
        <f t="shared" ref="AA1099:AA1101" si="989">X1099</f>
        <v>878.26874999999995</v>
      </c>
      <c r="AB1099" s="200">
        <f t="shared" ref="AB1099:AB1101" si="990">AC1099/AA1099</f>
        <v>240</v>
      </c>
      <c r="AC1099" s="167">
        <f t="shared" ref="AC1099:AC1101" si="991">J1099</f>
        <v>210784.5</v>
      </c>
      <c r="AD1099" s="170">
        <f t="shared" ref="AD1099:AD1101" si="992">AA1099</f>
        <v>878.26874999999995</v>
      </c>
      <c r="AE1099" s="200">
        <f t="shared" ref="AE1099:AE1101" si="993">AF1099/AD1099</f>
        <v>240</v>
      </c>
      <c r="AF1099" s="167">
        <f t="shared" ref="AF1099:AF1101" si="994">K1099</f>
        <v>210784.5</v>
      </c>
      <c r="AG1099" s="67"/>
    </row>
    <row r="1100" spans="1:33">
      <c r="A1100" s="134"/>
      <c r="B1100" s="153">
        <v>2</v>
      </c>
      <c r="C1100" s="245"/>
      <c r="D1100" s="245" t="s">
        <v>1583</v>
      </c>
      <c r="E1100" s="164">
        <v>13948.470000000001</v>
      </c>
      <c r="F1100" s="164">
        <v>24</v>
      </c>
      <c r="G1100" s="164">
        <v>24</v>
      </c>
      <c r="H1100" s="164">
        <v>24</v>
      </c>
      <c r="I1100" s="164">
        <f t="shared" ref="I1100:K1100" si="995">$E1100*F1100</f>
        <v>334763.28000000003</v>
      </c>
      <c r="J1100" s="164">
        <f t="shared" si="995"/>
        <v>334763.28000000003</v>
      </c>
      <c r="K1100" s="164">
        <f t="shared" si="995"/>
        <v>334763.28000000003</v>
      </c>
      <c r="L1100" s="111"/>
      <c r="M1100" s="111"/>
      <c r="N1100" s="111"/>
      <c r="O1100" s="111"/>
      <c r="P1100" s="111"/>
      <c r="Q1100" s="111"/>
      <c r="R1100" s="111"/>
      <c r="S1100" s="712"/>
      <c r="T1100" s="169" t="s">
        <v>946</v>
      </c>
      <c r="U1100" s="169" t="s">
        <v>946</v>
      </c>
      <c r="V1100" s="121" t="s">
        <v>848</v>
      </c>
      <c r="W1100" s="164" t="s">
        <v>947</v>
      </c>
      <c r="X1100" s="170">
        <f>'Assumptions TRC_AUN'!$E$33</f>
        <v>3334</v>
      </c>
      <c r="Y1100" s="200">
        <f t="shared" si="987"/>
        <v>100.4089022195561</v>
      </c>
      <c r="Z1100" s="167">
        <f t="shared" si="988"/>
        <v>334763.28000000003</v>
      </c>
      <c r="AA1100" s="170">
        <f t="shared" si="989"/>
        <v>3334</v>
      </c>
      <c r="AB1100" s="200">
        <f t="shared" si="990"/>
        <v>100.4089022195561</v>
      </c>
      <c r="AC1100" s="167">
        <f t="shared" si="991"/>
        <v>334763.28000000003</v>
      </c>
      <c r="AD1100" s="170">
        <f t="shared" si="992"/>
        <v>3334</v>
      </c>
      <c r="AE1100" s="200">
        <f t="shared" si="993"/>
        <v>100.4089022195561</v>
      </c>
      <c r="AF1100" s="167">
        <f t="shared" si="994"/>
        <v>334763.28000000003</v>
      </c>
      <c r="AG1100" s="67"/>
    </row>
    <row r="1101" spans="1:33">
      <c r="A1101" s="134"/>
      <c r="B1101" s="153">
        <v>3</v>
      </c>
      <c r="C1101" s="245"/>
      <c r="D1101" s="245" t="s">
        <v>1584</v>
      </c>
      <c r="E1101" s="164">
        <f>'Assumptions TRC_AUN'!$J$146</f>
        <v>2200</v>
      </c>
      <c r="F1101" s="164">
        <v>110</v>
      </c>
      <c r="G1101" s="164">
        <v>76</v>
      </c>
      <c r="H1101" s="164">
        <v>76</v>
      </c>
      <c r="I1101" s="164">
        <f t="shared" ref="I1101:K1101" si="996">$E1101*F1101</f>
        <v>242000</v>
      </c>
      <c r="J1101" s="164">
        <f t="shared" si="996"/>
        <v>167200</v>
      </c>
      <c r="K1101" s="164">
        <f t="shared" si="996"/>
        <v>167200</v>
      </c>
      <c r="L1101" s="111"/>
      <c r="M1101" s="111"/>
      <c r="N1101" s="111"/>
      <c r="O1101" s="111"/>
      <c r="P1101" s="111"/>
      <c r="Q1101" s="111"/>
      <c r="R1101" s="111"/>
      <c r="S1101" s="712"/>
      <c r="T1101" s="169" t="s">
        <v>946</v>
      </c>
      <c r="U1101" s="169" t="s">
        <v>946</v>
      </c>
      <c r="V1101" s="121" t="s">
        <v>813</v>
      </c>
      <c r="W1101" s="121" t="s">
        <v>1094</v>
      </c>
      <c r="X1101" s="170">
        <f>'Assumptions TRC_AUN'!J147</f>
        <v>220</v>
      </c>
      <c r="Y1101" s="200">
        <f t="shared" si="987"/>
        <v>1100</v>
      </c>
      <c r="Z1101" s="167">
        <f t="shared" si="988"/>
        <v>242000</v>
      </c>
      <c r="AA1101" s="170">
        <f t="shared" si="989"/>
        <v>220</v>
      </c>
      <c r="AB1101" s="200">
        <f t="shared" si="990"/>
        <v>760</v>
      </c>
      <c r="AC1101" s="167">
        <f t="shared" si="991"/>
        <v>167200</v>
      </c>
      <c r="AD1101" s="170">
        <f t="shared" si="992"/>
        <v>220</v>
      </c>
      <c r="AE1101" s="200">
        <f t="shared" si="993"/>
        <v>760</v>
      </c>
      <c r="AF1101" s="167">
        <f t="shared" si="994"/>
        <v>167200</v>
      </c>
      <c r="AG1101" s="67"/>
    </row>
    <row r="1102" spans="1:33">
      <c r="A1102" s="134"/>
      <c r="B1102" s="153"/>
      <c r="C1102" s="245" t="s">
        <v>1585</v>
      </c>
      <c r="D1102" s="245" t="s">
        <v>1586</v>
      </c>
      <c r="E1102" s="164">
        <v>90000</v>
      </c>
      <c r="F1102" s="164">
        <v>1</v>
      </c>
      <c r="G1102" s="164">
        <v>1</v>
      </c>
      <c r="H1102" s="164">
        <v>1</v>
      </c>
      <c r="I1102" s="164">
        <f t="shared" ref="I1102:K1102" si="997">$E1102*F1102</f>
        <v>90000</v>
      </c>
      <c r="J1102" s="164">
        <f t="shared" si="997"/>
        <v>90000</v>
      </c>
      <c r="K1102" s="164">
        <f t="shared" si="997"/>
        <v>90000</v>
      </c>
      <c r="L1102" s="111"/>
      <c r="M1102" s="111"/>
      <c r="N1102" s="111"/>
      <c r="O1102" s="111"/>
      <c r="P1102" s="111"/>
      <c r="Q1102" s="111"/>
      <c r="R1102" s="111"/>
      <c r="S1102" s="712"/>
      <c r="T1102" s="169"/>
      <c r="U1102" s="169"/>
      <c r="V1102" s="121"/>
      <c r="W1102" s="121"/>
      <c r="X1102" s="170"/>
      <c r="Y1102" s="200"/>
      <c r="Z1102" s="167"/>
      <c r="AA1102" s="170"/>
      <c r="AB1102" s="200"/>
      <c r="AC1102" s="167"/>
      <c r="AD1102" s="170"/>
      <c r="AE1102" s="200"/>
      <c r="AF1102" s="167"/>
      <c r="AG1102" s="67"/>
    </row>
    <row r="1103" spans="1:33">
      <c r="A1103" s="134"/>
      <c r="B1103" s="153"/>
      <c r="C1103" s="245" t="s">
        <v>1585</v>
      </c>
      <c r="D1103" s="245" t="s">
        <v>1587</v>
      </c>
      <c r="E1103" s="164">
        <v>27800</v>
      </c>
      <c r="F1103" s="164">
        <v>1</v>
      </c>
      <c r="G1103" s="164">
        <v>1</v>
      </c>
      <c r="H1103" s="164">
        <v>1</v>
      </c>
      <c r="I1103" s="164">
        <f t="shared" ref="I1103:K1103" si="998">$E1103*F1103</f>
        <v>27800</v>
      </c>
      <c r="J1103" s="164">
        <f t="shared" si="998"/>
        <v>27800</v>
      </c>
      <c r="K1103" s="164">
        <f t="shared" si="998"/>
        <v>27800</v>
      </c>
      <c r="L1103" s="111"/>
      <c r="M1103" s="111"/>
      <c r="N1103" s="111"/>
      <c r="O1103" s="111"/>
      <c r="P1103" s="111"/>
      <c r="Q1103" s="111"/>
      <c r="R1103" s="111"/>
      <c r="S1103" s="712"/>
      <c r="T1103" s="169"/>
      <c r="U1103" s="169"/>
      <c r="V1103" s="121"/>
      <c r="W1103" s="121"/>
      <c r="X1103" s="170"/>
      <c r="Y1103" s="200"/>
      <c r="Z1103" s="167"/>
      <c r="AA1103" s="170"/>
      <c r="AB1103" s="200"/>
      <c r="AC1103" s="167"/>
      <c r="AD1103" s="170"/>
      <c r="AE1103" s="200"/>
      <c r="AF1103" s="167"/>
      <c r="AG1103" s="67"/>
    </row>
    <row r="1104" spans="1:33">
      <c r="A1104" s="134"/>
      <c r="B1104" s="153"/>
      <c r="C1104" s="245" t="s">
        <v>1585</v>
      </c>
      <c r="D1104" s="245" t="s">
        <v>1588</v>
      </c>
      <c r="E1104" s="164">
        <v>48000</v>
      </c>
      <c r="F1104" s="164">
        <v>1</v>
      </c>
      <c r="G1104" s="164">
        <v>1</v>
      </c>
      <c r="H1104" s="164">
        <v>1</v>
      </c>
      <c r="I1104" s="164">
        <f t="shared" ref="I1104:K1104" si="999">$E1104*F1104</f>
        <v>48000</v>
      </c>
      <c r="J1104" s="164">
        <f t="shared" si="999"/>
        <v>48000</v>
      </c>
      <c r="K1104" s="164">
        <f t="shared" si="999"/>
        <v>48000</v>
      </c>
      <c r="L1104" s="111"/>
      <c r="M1104" s="111"/>
      <c r="N1104" s="111"/>
      <c r="O1104" s="111"/>
      <c r="P1104" s="111"/>
      <c r="Q1104" s="111"/>
      <c r="R1104" s="111"/>
      <c r="S1104" s="712"/>
      <c r="T1104" s="169"/>
      <c r="U1104" s="169"/>
      <c r="V1104" s="121"/>
      <c r="W1104" s="121"/>
      <c r="X1104" s="170"/>
      <c r="Y1104" s="200"/>
      <c r="Z1104" s="167"/>
      <c r="AA1104" s="170"/>
      <c r="AB1104" s="200"/>
      <c r="AC1104" s="167"/>
      <c r="AD1104" s="170"/>
      <c r="AE1104" s="200"/>
      <c r="AF1104" s="167"/>
      <c r="AG1104" s="67"/>
    </row>
    <row r="1105" spans="1:33">
      <c r="A1105" s="134"/>
      <c r="B1105" s="153"/>
      <c r="C1105" s="245" t="s">
        <v>1585</v>
      </c>
      <c r="D1105" s="245" t="s">
        <v>1589</v>
      </c>
      <c r="E1105" s="164">
        <v>30000</v>
      </c>
      <c r="F1105" s="164">
        <v>1</v>
      </c>
      <c r="G1105" s="164">
        <v>1</v>
      </c>
      <c r="H1105" s="164">
        <v>1</v>
      </c>
      <c r="I1105" s="164">
        <f t="shared" ref="I1105:K1105" si="1000">$E1105*F1105</f>
        <v>30000</v>
      </c>
      <c r="J1105" s="164">
        <f t="shared" si="1000"/>
        <v>30000</v>
      </c>
      <c r="K1105" s="164">
        <f t="shared" si="1000"/>
        <v>30000</v>
      </c>
      <c r="L1105" s="111"/>
      <c r="M1105" s="111"/>
      <c r="N1105" s="111"/>
      <c r="O1105" s="111"/>
      <c r="P1105" s="111"/>
      <c r="Q1105" s="111"/>
      <c r="R1105" s="111"/>
      <c r="S1105" s="712"/>
      <c r="T1105" s="169"/>
      <c r="U1105" s="169"/>
      <c r="V1105" s="121"/>
      <c r="W1105" s="121"/>
      <c r="X1105" s="170"/>
      <c r="Y1105" s="200"/>
      <c r="Z1105" s="167"/>
      <c r="AA1105" s="170"/>
      <c r="AB1105" s="200"/>
      <c r="AC1105" s="167"/>
      <c r="AD1105" s="170"/>
      <c r="AE1105" s="200"/>
      <c r="AF1105" s="167"/>
      <c r="AG1105" s="67"/>
    </row>
    <row r="1106" spans="1:33">
      <c r="A1106" s="134"/>
      <c r="B1106" s="153">
        <v>4</v>
      </c>
      <c r="C1106" s="245" t="s">
        <v>1585</v>
      </c>
      <c r="D1106" s="245" t="s">
        <v>1590</v>
      </c>
      <c r="E1106" s="164">
        <v>54600</v>
      </c>
      <c r="F1106" s="164">
        <v>1</v>
      </c>
      <c r="G1106" s="164">
        <v>1</v>
      </c>
      <c r="H1106" s="164">
        <v>1</v>
      </c>
      <c r="I1106" s="164">
        <f t="shared" ref="I1106:K1106" si="1001">$E1106*F1106</f>
        <v>54600</v>
      </c>
      <c r="J1106" s="164">
        <f t="shared" si="1001"/>
        <v>54600</v>
      </c>
      <c r="K1106" s="164">
        <f t="shared" si="1001"/>
        <v>54600</v>
      </c>
      <c r="L1106" s="111"/>
      <c r="M1106" s="111"/>
      <c r="N1106" s="111"/>
      <c r="O1106" s="111"/>
      <c r="P1106" s="111"/>
      <c r="Q1106" s="111"/>
      <c r="R1106" s="111"/>
      <c r="S1106" s="712"/>
      <c r="T1106" s="169" t="s">
        <v>946</v>
      </c>
      <c r="U1106" s="169" t="s">
        <v>946</v>
      </c>
      <c r="V1106" s="121" t="s">
        <v>1591</v>
      </c>
      <c r="W1106" s="164" t="s">
        <v>947</v>
      </c>
      <c r="X1106" s="170">
        <f>E1106</f>
        <v>54600</v>
      </c>
      <c r="Y1106" s="200">
        <f t="shared" ref="Y1106:Y1110" si="1002">Z1106/X1106</f>
        <v>1</v>
      </c>
      <c r="Z1106" s="167">
        <f t="shared" ref="Z1106:Z1110" si="1003">I1106</f>
        <v>54600</v>
      </c>
      <c r="AA1106" s="170">
        <f t="shared" ref="AA1106:AA1109" si="1004">X1106</f>
        <v>54600</v>
      </c>
      <c r="AB1106" s="200">
        <f t="shared" ref="AB1106:AB1110" si="1005">AC1106/AA1106</f>
        <v>1</v>
      </c>
      <c r="AC1106" s="167">
        <f t="shared" ref="AC1106:AC1110" si="1006">J1106</f>
        <v>54600</v>
      </c>
      <c r="AD1106" s="170">
        <f t="shared" ref="AD1106:AD1110" si="1007">AA1106</f>
        <v>54600</v>
      </c>
      <c r="AE1106" s="200">
        <f t="shared" ref="AE1106:AE1110" si="1008">AF1106/AD1106</f>
        <v>1</v>
      </c>
      <c r="AF1106" s="167">
        <f t="shared" ref="AF1106:AF1110" si="1009">K1106</f>
        <v>54600</v>
      </c>
      <c r="AG1106" s="67"/>
    </row>
    <row r="1107" spans="1:33">
      <c r="A1107" s="134"/>
      <c r="B1107" s="153">
        <v>5</v>
      </c>
      <c r="C1107" s="245"/>
      <c r="D1107" s="245" t="s">
        <v>1592</v>
      </c>
      <c r="E1107" s="164">
        <f>'Assumptions TRC_AUN'!$J$163</f>
        <v>183564.125</v>
      </c>
      <c r="F1107" s="164">
        <v>1</v>
      </c>
      <c r="G1107" s="164">
        <v>1</v>
      </c>
      <c r="H1107" s="164">
        <v>1</v>
      </c>
      <c r="I1107" s="164">
        <f t="shared" ref="I1107:K1107" si="1010">$E1107*F1107</f>
        <v>183564.125</v>
      </c>
      <c r="J1107" s="164">
        <f t="shared" si="1010"/>
        <v>183564.125</v>
      </c>
      <c r="K1107" s="164">
        <f t="shared" si="1010"/>
        <v>183564.125</v>
      </c>
      <c r="L1107" s="111"/>
      <c r="M1107" s="111"/>
      <c r="N1107" s="111"/>
      <c r="O1107" s="111"/>
      <c r="P1107" s="111"/>
      <c r="Q1107" s="111"/>
      <c r="R1107" s="111"/>
      <c r="S1107" s="712"/>
      <c r="T1107" s="169" t="s">
        <v>946</v>
      </c>
      <c r="U1107" s="169" t="s">
        <v>946</v>
      </c>
      <c r="V1107" s="121" t="s">
        <v>813</v>
      </c>
      <c r="W1107" s="121" t="s">
        <v>1094</v>
      </c>
      <c r="X1107" s="170">
        <f>'Assumptions TRC_AUN'!$J$164</f>
        <v>1019.8006944444445</v>
      </c>
      <c r="Y1107" s="200">
        <f t="shared" si="1002"/>
        <v>180</v>
      </c>
      <c r="Z1107" s="167">
        <f t="shared" si="1003"/>
        <v>183564.125</v>
      </c>
      <c r="AA1107" s="170">
        <f t="shared" si="1004"/>
        <v>1019.8006944444445</v>
      </c>
      <c r="AB1107" s="200">
        <f t="shared" si="1005"/>
        <v>180</v>
      </c>
      <c r="AC1107" s="167">
        <f t="shared" si="1006"/>
        <v>183564.125</v>
      </c>
      <c r="AD1107" s="170">
        <f t="shared" si="1007"/>
        <v>1019.8006944444445</v>
      </c>
      <c r="AE1107" s="200">
        <f t="shared" si="1008"/>
        <v>180</v>
      </c>
      <c r="AF1107" s="167">
        <f t="shared" si="1009"/>
        <v>183564.125</v>
      </c>
      <c r="AG1107" s="67"/>
    </row>
    <row r="1108" spans="1:33">
      <c r="A1108" s="134"/>
      <c r="B1108" s="153">
        <v>6</v>
      </c>
      <c r="C1108" s="245"/>
      <c r="D1108" s="245" t="s">
        <v>1593</v>
      </c>
      <c r="E1108" s="164">
        <v>6457.625</v>
      </c>
      <c r="F1108" s="164">
        <v>204</v>
      </c>
      <c r="G1108" s="164">
        <v>204</v>
      </c>
      <c r="H1108" s="164">
        <v>204</v>
      </c>
      <c r="I1108" s="164">
        <f t="shared" ref="I1108:K1108" si="1011">$E1108*F1108</f>
        <v>1317355.5</v>
      </c>
      <c r="J1108" s="164">
        <f t="shared" si="1011"/>
        <v>1317355.5</v>
      </c>
      <c r="K1108" s="164">
        <f t="shared" si="1011"/>
        <v>1317355.5</v>
      </c>
      <c r="L1108" s="111"/>
      <c r="M1108" s="111"/>
      <c r="N1108" s="111"/>
      <c r="O1108" s="111"/>
      <c r="P1108" s="111"/>
      <c r="Q1108" s="111"/>
      <c r="R1108" s="111"/>
      <c r="S1108" s="712"/>
      <c r="T1108" s="169" t="s">
        <v>946</v>
      </c>
      <c r="U1108" s="169" t="s">
        <v>946</v>
      </c>
      <c r="V1108" s="121" t="s">
        <v>848</v>
      </c>
      <c r="W1108" s="164" t="s">
        <v>947</v>
      </c>
      <c r="X1108" s="170">
        <f>'Assumptions TRC_AUN'!$E$33</f>
        <v>3334</v>
      </c>
      <c r="Y1108" s="200">
        <f t="shared" si="1002"/>
        <v>395.12762447510499</v>
      </c>
      <c r="Z1108" s="167">
        <f t="shared" si="1003"/>
        <v>1317355.5</v>
      </c>
      <c r="AA1108" s="170">
        <f t="shared" si="1004"/>
        <v>3334</v>
      </c>
      <c r="AB1108" s="200">
        <f t="shared" si="1005"/>
        <v>395.12762447510499</v>
      </c>
      <c r="AC1108" s="167">
        <f t="shared" si="1006"/>
        <v>1317355.5</v>
      </c>
      <c r="AD1108" s="170">
        <f t="shared" si="1007"/>
        <v>3334</v>
      </c>
      <c r="AE1108" s="200">
        <f t="shared" si="1008"/>
        <v>395.12762447510499</v>
      </c>
      <c r="AF1108" s="167">
        <f t="shared" si="1009"/>
        <v>1317355.5</v>
      </c>
      <c r="AG1108" s="67"/>
    </row>
    <row r="1109" spans="1:33">
      <c r="A1109" s="134"/>
      <c r="B1109" s="153">
        <v>7</v>
      </c>
      <c r="C1109" s="121" t="s">
        <v>1001</v>
      </c>
      <c r="D1109" s="245"/>
      <c r="E1109" s="164"/>
      <c r="F1109" s="164"/>
      <c r="G1109" s="164"/>
      <c r="H1109" s="164"/>
      <c r="I1109" s="164">
        <f t="shared" ref="I1109:K1109" si="1012">SUM(I1099:I1108)*10%</f>
        <v>253886.74050000004</v>
      </c>
      <c r="J1109" s="164">
        <f t="shared" si="1012"/>
        <v>246406.74050000004</v>
      </c>
      <c r="K1109" s="164">
        <f t="shared" si="1012"/>
        <v>246406.74050000004</v>
      </c>
      <c r="L1109" s="111"/>
      <c r="M1109" s="111"/>
      <c r="N1109" s="111"/>
      <c r="O1109" s="111"/>
      <c r="P1109" s="111"/>
      <c r="Q1109" s="111"/>
      <c r="R1109" s="111"/>
      <c r="S1109" s="712"/>
      <c r="T1109" s="169" t="s">
        <v>946</v>
      </c>
      <c r="U1109" s="169" t="s">
        <v>946</v>
      </c>
      <c r="V1109" s="121" t="s">
        <v>875</v>
      </c>
      <c r="W1109" s="121" t="s">
        <v>961</v>
      </c>
      <c r="X1109" s="170">
        <f>'Assumptions HR_AUN'!$D$4*3</f>
        <v>88211.039066799218</v>
      </c>
      <c r="Y1109" s="200">
        <f t="shared" si="1002"/>
        <v>2.8781742419759988</v>
      </c>
      <c r="Z1109" s="167">
        <f t="shared" si="1003"/>
        <v>253886.74050000004</v>
      </c>
      <c r="AA1109" s="170">
        <f t="shared" si="1004"/>
        <v>88211.039066799218</v>
      </c>
      <c r="AB1109" s="200">
        <f t="shared" si="1005"/>
        <v>2.7933775988445686</v>
      </c>
      <c r="AC1109" s="167">
        <f t="shared" si="1006"/>
        <v>246406.74050000004</v>
      </c>
      <c r="AD1109" s="170">
        <f t="shared" si="1007"/>
        <v>88211.039066799218</v>
      </c>
      <c r="AE1109" s="200">
        <f t="shared" si="1008"/>
        <v>2.7933775988445686</v>
      </c>
      <c r="AF1109" s="167">
        <f t="shared" si="1009"/>
        <v>246406.74050000004</v>
      </c>
      <c r="AG1109" s="67"/>
    </row>
    <row r="1110" spans="1:33">
      <c r="A1110" s="134"/>
      <c r="B1110" s="153">
        <v>8</v>
      </c>
      <c r="C1110" s="121" t="s">
        <v>962</v>
      </c>
      <c r="D1110" s="245"/>
      <c r="E1110" s="264"/>
      <c r="F1110" s="221"/>
      <c r="G1110" s="221"/>
      <c r="H1110" s="221"/>
      <c r="I1110" s="164">
        <f t="shared" ref="I1110:K1110" si="1013">SUM(I1099:I1108)*15%</f>
        <v>380830.11075000005</v>
      </c>
      <c r="J1110" s="164">
        <f t="shared" si="1013"/>
        <v>369610.11075000005</v>
      </c>
      <c r="K1110" s="164">
        <f t="shared" si="1013"/>
        <v>369610.11075000005</v>
      </c>
      <c r="L1110" s="111"/>
      <c r="M1110" s="111"/>
      <c r="N1110" s="111"/>
      <c r="O1110" s="111"/>
      <c r="P1110" s="111"/>
      <c r="Q1110" s="111"/>
      <c r="R1110" s="111"/>
      <c r="S1110" s="712"/>
      <c r="T1110" s="169" t="s">
        <v>946</v>
      </c>
      <c r="U1110" s="169" t="s">
        <v>946</v>
      </c>
      <c r="V1110" s="121" t="s">
        <v>881</v>
      </c>
      <c r="W1110" s="121" t="s">
        <v>964</v>
      </c>
      <c r="X1110" s="170">
        <f>I1110/4</f>
        <v>95207.527687500013</v>
      </c>
      <c r="Y1110" s="200">
        <f t="shared" si="1002"/>
        <v>4</v>
      </c>
      <c r="Z1110" s="167">
        <f t="shared" si="1003"/>
        <v>380830.11075000005</v>
      </c>
      <c r="AA1110" s="170">
        <f>$J$1110/4</f>
        <v>92402.527687500013</v>
      </c>
      <c r="AB1110" s="200">
        <f t="shared" si="1005"/>
        <v>4</v>
      </c>
      <c r="AC1110" s="167">
        <f t="shared" si="1006"/>
        <v>369610.11075000005</v>
      </c>
      <c r="AD1110" s="170">
        <f t="shared" si="1007"/>
        <v>92402.527687500013</v>
      </c>
      <c r="AE1110" s="200">
        <f t="shared" si="1008"/>
        <v>4</v>
      </c>
      <c r="AF1110" s="167">
        <f t="shared" si="1009"/>
        <v>369610.11075000005</v>
      </c>
      <c r="AG1110" s="67"/>
    </row>
    <row r="1111" spans="1:33">
      <c r="A1111" s="9"/>
      <c r="B1111" s="215"/>
      <c r="C1111" s="215"/>
      <c r="D1111" s="215"/>
      <c r="E1111" s="215"/>
      <c r="F1111" s="215"/>
      <c r="G1111" s="215"/>
      <c r="H1111" s="215"/>
      <c r="I1111" s="215"/>
      <c r="J1111" s="215"/>
      <c r="K1111" s="215"/>
      <c r="L1111" s="111"/>
      <c r="M1111" s="111"/>
      <c r="N1111" s="111"/>
      <c r="O1111" s="111"/>
      <c r="P1111" s="111"/>
      <c r="Q1111" s="111"/>
      <c r="R1111" s="111"/>
      <c r="S1111" s="712"/>
      <c r="T1111" s="111"/>
      <c r="U1111" s="111"/>
      <c r="V1111" s="67"/>
      <c r="W1111" s="111"/>
      <c r="X1111" s="132"/>
      <c r="Y1111" s="133"/>
      <c r="Z1111" s="132"/>
      <c r="AA1111" s="132"/>
      <c r="AB1111" s="133"/>
      <c r="AC1111" s="132"/>
      <c r="AD1111" s="132"/>
      <c r="AE1111" s="133"/>
      <c r="AF1111" s="132"/>
      <c r="AG1111" s="67"/>
    </row>
    <row r="1112" spans="1:33">
      <c r="A1112" s="9"/>
      <c r="B1112" s="215"/>
      <c r="C1112" s="215"/>
      <c r="D1112" s="215"/>
      <c r="E1112" s="215"/>
      <c r="F1112" s="215"/>
      <c r="G1112" s="215"/>
      <c r="H1112" s="215"/>
      <c r="I1112" s="215"/>
      <c r="J1112" s="215"/>
      <c r="K1112" s="215"/>
      <c r="L1112" s="111"/>
      <c r="M1112" s="111"/>
      <c r="N1112" s="111"/>
      <c r="O1112" s="111"/>
      <c r="P1112" s="111"/>
      <c r="Q1112" s="111"/>
      <c r="R1112" s="111"/>
      <c r="S1112" s="712"/>
      <c r="T1112" s="111"/>
      <c r="U1112" s="111"/>
      <c r="V1112" s="67"/>
      <c r="W1112" s="111"/>
      <c r="X1112" s="132"/>
      <c r="Y1112" s="133"/>
      <c r="Z1112" s="132"/>
      <c r="AA1112" s="132"/>
      <c r="AB1112" s="133"/>
      <c r="AC1112" s="132"/>
      <c r="AD1112" s="132"/>
      <c r="AE1112" s="133"/>
      <c r="AF1112" s="132"/>
      <c r="AG1112" s="67"/>
    </row>
    <row r="1113" spans="1:33">
      <c r="A1113" s="725">
        <v>63</v>
      </c>
      <c r="B1113" s="726" t="e" vm="1">
        <f>'[2]AUN Budget'!$E$262</f>
        <v>#VALUE!</v>
      </c>
      <c r="C1113" s="731"/>
      <c r="D1113" s="731"/>
      <c r="E1113" s="731"/>
      <c r="F1113" s="731"/>
      <c r="G1113" s="731"/>
      <c r="H1113" s="731"/>
      <c r="I1113" s="731"/>
      <c r="J1113" s="731"/>
      <c r="K1113" s="731"/>
      <c r="L1113" s="731"/>
      <c r="M1113" s="111"/>
      <c r="N1113" s="111"/>
      <c r="O1113" s="111"/>
      <c r="P1113" s="111"/>
      <c r="Q1113" s="111"/>
      <c r="R1113" s="111"/>
      <c r="S1113" s="712"/>
      <c r="T1113" s="111"/>
      <c r="U1113" s="111"/>
      <c r="V1113" s="67"/>
      <c r="W1113" s="132"/>
      <c r="X1113" s="133"/>
      <c r="Y1113" s="132"/>
      <c r="Z1113" s="132"/>
      <c r="AA1113" s="133"/>
      <c r="AB1113" s="132"/>
      <c r="AC1113" s="132"/>
      <c r="AD1113" s="133"/>
      <c r="AE1113" s="132"/>
      <c r="AF1113" s="111"/>
      <c r="AG1113" s="67"/>
    </row>
    <row r="1114" spans="1:33">
      <c r="A1114" s="134"/>
      <c r="B1114" s="113" t="s">
        <v>755</v>
      </c>
      <c r="C1114" s="113" t="s">
        <v>1304</v>
      </c>
      <c r="D1114" s="113" t="s">
        <v>1305</v>
      </c>
      <c r="E1114" s="113" t="s">
        <v>697</v>
      </c>
      <c r="F1114" s="113" t="s">
        <v>1306</v>
      </c>
      <c r="G1114" s="113" t="s">
        <v>1307</v>
      </c>
      <c r="H1114" s="113" t="s">
        <v>1308</v>
      </c>
      <c r="I1114" s="113" t="s">
        <v>1309</v>
      </c>
      <c r="J1114" s="113" t="s">
        <v>972</v>
      </c>
      <c r="K1114" s="113" t="s">
        <v>973</v>
      </c>
      <c r="L1114" s="113" t="s">
        <v>974</v>
      </c>
      <c r="M1114" s="111"/>
      <c r="N1114" s="111"/>
      <c r="O1114" s="111"/>
      <c r="P1114" s="111"/>
      <c r="Q1114" s="111"/>
      <c r="R1114" s="111"/>
      <c r="S1114" s="712"/>
      <c r="T1114" s="111"/>
      <c r="U1114" s="111"/>
      <c r="V1114" s="67"/>
      <c r="W1114" s="132"/>
      <c r="X1114" s="133"/>
      <c r="Y1114" s="132"/>
      <c r="Z1114" s="132"/>
      <c r="AA1114" s="133"/>
      <c r="AB1114" s="132"/>
      <c r="AC1114" s="132"/>
      <c r="AD1114" s="133"/>
      <c r="AE1114" s="132"/>
      <c r="AF1114" s="111"/>
      <c r="AG1114" s="67"/>
    </row>
    <row r="1115" spans="1:33">
      <c r="A1115" s="134"/>
      <c r="B1115" s="153">
        <v>1</v>
      </c>
      <c r="C1115" s="153" t="s">
        <v>1594</v>
      </c>
      <c r="D1115" s="153" t="s">
        <v>1595</v>
      </c>
      <c r="E1115" s="153" t="s">
        <v>1312</v>
      </c>
      <c r="F1115" s="221">
        <v>154983</v>
      </c>
      <c r="G1115" s="164">
        <v>0</v>
      </c>
      <c r="H1115" s="164">
        <v>0</v>
      </c>
      <c r="I1115" s="164">
        <v>0</v>
      </c>
      <c r="J1115" s="164">
        <f t="shared" ref="J1115:L1115" si="1014">$F1115*G1115</f>
        <v>0</v>
      </c>
      <c r="K1115" s="164">
        <f t="shared" si="1014"/>
        <v>0</v>
      </c>
      <c r="L1115" s="164">
        <f t="shared" si="1014"/>
        <v>0</v>
      </c>
      <c r="M1115" s="111"/>
      <c r="N1115" s="242"/>
      <c r="O1115" s="111"/>
      <c r="P1115" s="210"/>
      <c r="Q1115" s="111"/>
      <c r="R1115" s="111"/>
      <c r="S1115" s="712"/>
      <c r="T1115" s="111"/>
      <c r="U1115" s="111"/>
      <c r="V1115" s="67"/>
      <c r="W1115" s="132"/>
      <c r="X1115" s="133"/>
      <c r="Y1115" s="132"/>
      <c r="Z1115" s="132"/>
      <c r="AA1115" s="132"/>
      <c r="AB1115" s="132"/>
      <c r="AC1115" s="132"/>
      <c r="AD1115" s="133"/>
      <c r="AE1115" s="132"/>
      <c r="AF1115" s="111"/>
      <c r="AG1115" s="67"/>
    </row>
    <row r="1116" spans="1:33">
      <c r="A1116" s="134"/>
      <c r="B1116" s="153">
        <v>2</v>
      </c>
      <c r="C1116" s="153" t="s">
        <v>1596</v>
      </c>
      <c r="D1116" s="153" t="s">
        <v>1335</v>
      </c>
      <c r="E1116" s="153" t="s">
        <v>1312</v>
      </c>
      <c r="F1116" s="221">
        <v>77492</v>
      </c>
      <c r="G1116" s="164">
        <v>5</v>
      </c>
      <c r="H1116" s="164">
        <v>4</v>
      </c>
      <c r="I1116" s="164">
        <v>0</v>
      </c>
      <c r="J1116" s="164">
        <f t="shared" ref="J1116:L1116" si="1015">$F1116*G1116</f>
        <v>387460</v>
      </c>
      <c r="K1116" s="164">
        <f t="shared" si="1015"/>
        <v>309968</v>
      </c>
      <c r="L1116" s="164">
        <f t="shared" si="1015"/>
        <v>0</v>
      </c>
      <c r="M1116" s="111"/>
      <c r="N1116" s="242"/>
      <c r="O1116" s="111"/>
      <c r="P1116" s="210"/>
      <c r="Q1116" s="111"/>
      <c r="R1116" s="111"/>
      <c r="S1116" s="712"/>
      <c r="T1116" s="111"/>
      <c r="U1116" s="111"/>
      <c r="V1116" s="67"/>
      <c r="W1116" s="132"/>
      <c r="X1116" s="133"/>
      <c r="Y1116" s="132"/>
      <c r="Z1116" s="132"/>
      <c r="AA1116" s="132"/>
      <c r="AB1116" s="132"/>
      <c r="AC1116" s="132"/>
      <c r="AD1116" s="133"/>
      <c r="AE1116" s="132"/>
      <c r="AF1116" s="111"/>
      <c r="AG1116" s="67"/>
    </row>
    <row r="1117" spans="1:33">
      <c r="A1117" s="134"/>
      <c r="B1117" s="153">
        <v>3</v>
      </c>
      <c r="C1117" s="153" t="s">
        <v>1597</v>
      </c>
      <c r="D1117" s="153" t="s">
        <v>1598</v>
      </c>
      <c r="E1117" s="153" t="s">
        <v>1312</v>
      </c>
      <c r="F1117" s="221">
        <v>336</v>
      </c>
      <c r="G1117" s="164">
        <v>400</v>
      </c>
      <c r="H1117" s="164">
        <v>400</v>
      </c>
      <c r="I1117" s="164">
        <v>400</v>
      </c>
      <c r="J1117" s="164">
        <f t="shared" ref="J1117:L1117" si="1016">$F1117*G1117</f>
        <v>134400</v>
      </c>
      <c r="K1117" s="164">
        <f t="shared" si="1016"/>
        <v>134400</v>
      </c>
      <c r="L1117" s="164">
        <f t="shared" si="1016"/>
        <v>134400</v>
      </c>
      <c r="M1117" s="111"/>
      <c r="N1117" s="242"/>
      <c r="O1117" s="111"/>
      <c r="P1117" s="210"/>
      <c r="Q1117" s="111"/>
      <c r="R1117" s="111"/>
      <c r="S1117" s="712"/>
      <c r="T1117" s="111"/>
      <c r="U1117" s="111"/>
      <c r="V1117" s="67"/>
      <c r="W1117" s="132"/>
      <c r="X1117" s="133"/>
      <c r="Y1117" s="132"/>
      <c r="Z1117" s="132"/>
      <c r="AA1117" s="132"/>
      <c r="AB1117" s="132"/>
      <c r="AC1117" s="132"/>
      <c r="AD1117" s="133"/>
      <c r="AE1117" s="132"/>
      <c r="AF1117" s="111"/>
      <c r="AG1117" s="67"/>
    </row>
    <row r="1118" spans="1:33">
      <c r="A1118" s="134"/>
      <c r="B1118" s="153">
        <v>4</v>
      </c>
      <c r="C1118" s="153" t="s">
        <v>1599</v>
      </c>
      <c r="D1118" s="153" t="s">
        <v>1600</v>
      </c>
      <c r="E1118" s="153" t="s">
        <v>1312</v>
      </c>
      <c r="F1118" s="221">
        <v>517</v>
      </c>
      <c r="G1118" s="164">
        <v>380</v>
      </c>
      <c r="H1118" s="164">
        <v>380</v>
      </c>
      <c r="I1118" s="164">
        <v>380</v>
      </c>
      <c r="J1118" s="164">
        <f t="shared" ref="J1118:L1118" si="1017">$F1118*G1118</f>
        <v>196460</v>
      </c>
      <c r="K1118" s="164">
        <f t="shared" si="1017"/>
        <v>196460</v>
      </c>
      <c r="L1118" s="164">
        <f t="shared" si="1017"/>
        <v>196460</v>
      </c>
      <c r="M1118" s="111"/>
      <c r="N1118" s="242"/>
      <c r="O1118" s="111"/>
      <c r="P1118" s="210"/>
      <c r="Q1118" s="111"/>
      <c r="R1118" s="111"/>
      <c r="S1118" s="712"/>
      <c r="T1118" s="111"/>
      <c r="U1118" s="111"/>
      <c r="V1118" s="67"/>
      <c r="W1118" s="132"/>
      <c r="X1118" s="133"/>
      <c r="Y1118" s="132"/>
      <c r="Z1118" s="132"/>
      <c r="AA1118" s="132"/>
      <c r="AB1118" s="132"/>
      <c r="AC1118" s="132"/>
      <c r="AD1118" s="133"/>
      <c r="AE1118" s="132"/>
      <c r="AF1118" s="111"/>
      <c r="AG1118" s="67"/>
    </row>
    <row r="1119" spans="1:33">
      <c r="A1119" s="134"/>
      <c r="B1119" s="153">
        <v>5</v>
      </c>
      <c r="C1119" s="153" t="s">
        <v>1599</v>
      </c>
      <c r="D1119" s="153" t="s">
        <v>1601</v>
      </c>
      <c r="E1119" s="153" t="s">
        <v>1312</v>
      </c>
      <c r="F1119" s="221">
        <v>26</v>
      </c>
      <c r="G1119" s="164">
        <v>2000</v>
      </c>
      <c r="H1119" s="164">
        <v>2000</v>
      </c>
      <c r="I1119" s="164">
        <v>2000</v>
      </c>
      <c r="J1119" s="164">
        <f t="shared" ref="J1119:L1119" si="1018">$F1119*G1119</f>
        <v>52000</v>
      </c>
      <c r="K1119" s="164">
        <f t="shared" si="1018"/>
        <v>52000</v>
      </c>
      <c r="L1119" s="164">
        <f t="shared" si="1018"/>
        <v>52000</v>
      </c>
      <c r="M1119" s="111"/>
      <c r="N1119" s="242"/>
      <c r="O1119" s="111"/>
      <c r="P1119" s="210"/>
      <c r="Q1119" s="111"/>
      <c r="R1119" s="111"/>
      <c r="S1119" s="712"/>
      <c r="T1119" s="111"/>
      <c r="U1119" s="111"/>
      <c r="V1119" s="67"/>
      <c r="W1119" s="132"/>
      <c r="X1119" s="133"/>
      <c r="Y1119" s="132"/>
      <c r="Z1119" s="132"/>
      <c r="AA1119" s="132"/>
      <c r="AB1119" s="132"/>
      <c r="AC1119" s="132"/>
      <c r="AD1119" s="133"/>
      <c r="AE1119" s="132"/>
      <c r="AF1119" s="111"/>
      <c r="AG1119" s="67"/>
    </row>
    <row r="1120" spans="1:33">
      <c r="A1120" s="134"/>
      <c r="B1120" s="153">
        <v>6</v>
      </c>
      <c r="C1120" s="153" t="s">
        <v>1599</v>
      </c>
      <c r="D1120" s="153" t="s">
        <v>1602</v>
      </c>
      <c r="E1120" s="153" t="s">
        <v>1312</v>
      </c>
      <c r="F1120" s="221">
        <v>181</v>
      </c>
      <c r="G1120" s="164">
        <v>800</v>
      </c>
      <c r="H1120" s="164">
        <v>700</v>
      </c>
      <c r="I1120" s="164">
        <v>700</v>
      </c>
      <c r="J1120" s="164">
        <f t="shared" ref="J1120:L1120" si="1019">$F1120*G1120</f>
        <v>144800</v>
      </c>
      <c r="K1120" s="164">
        <f t="shared" si="1019"/>
        <v>126700</v>
      </c>
      <c r="L1120" s="164">
        <f t="shared" si="1019"/>
        <v>126700</v>
      </c>
      <c r="M1120" s="111"/>
      <c r="N1120" s="242"/>
      <c r="O1120" s="111"/>
      <c r="P1120" s="210"/>
      <c r="Q1120" s="111"/>
      <c r="R1120" s="111"/>
      <c r="S1120" s="712"/>
      <c r="T1120" s="111"/>
      <c r="U1120" s="111"/>
      <c r="V1120" s="67"/>
      <c r="W1120" s="132"/>
      <c r="X1120" s="133"/>
      <c r="Y1120" s="132"/>
      <c r="Z1120" s="132"/>
      <c r="AA1120" s="132"/>
      <c r="AB1120" s="132"/>
      <c r="AC1120" s="132"/>
      <c r="AD1120" s="133"/>
      <c r="AE1120" s="132"/>
      <c r="AF1120" s="111"/>
      <c r="AG1120" s="67"/>
    </row>
    <row r="1121" spans="1:33">
      <c r="A1121" s="134"/>
      <c r="B1121" s="153">
        <v>7</v>
      </c>
      <c r="C1121" s="153" t="s">
        <v>1599</v>
      </c>
      <c r="D1121" s="153" t="s">
        <v>1603</v>
      </c>
      <c r="E1121" s="153" t="s">
        <v>1312</v>
      </c>
      <c r="F1121" s="221">
        <v>129</v>
      </c>
      <c r="G1121" s="164">
        <v>200</v>
      </c>
      <c r="H1121" s="164">
        <v>200</v>
      </c>
      <c r="I1121" s="164">
        <v>200</v>
      </c>
      <c r="J1121" s="164">
        <f t="shared" ref="J1121:L1121" si="1020">$F1121*G1121</f>
        <v>25800</v>
      </c>
      <c r="K1121" s="164">
        <f t="shared" si="1020"/>
        <v>25800</v>
      </c>
      <c r="L1121" s="164">
        <f t="shared" si="1020"/>
        <v>25800</v>
      </c>
      <c r="M1121" s="111"/>
      <c r="N1121" s="242"/>
      <c r="O1121" s="111"/>
      <c r="P1121" s="210"/>
      <c r="Q1121" s="111"/>
      <c r="R1121" s="111"/>
      <c r="S1121" s="712"/>
      <c r="T1121" s="111"/>
      <c r="U1121" s="111"/>
      <c r="V1121" s="67"/>
      <c r="W1121" s="132"/>
      <c r="X1121" s="133"/>
      <c r="Y1121" s="132"/>
      <c r="Z1121" s="132"/>
      <c r="AA1121" s="132"/>
      <c r="AB1121" s="132"/>
      <c r="AC1121" s="132"/>
      <c r="AD1121" s="133"/>
      <c r="AE1121" s="132"/>
      <c r="AF1121" s="111"/>
      <c r="AG1121" s="67"/>
    </row>
    <row r="1122" spans="1:33">
      <c r="A1122" s="134"/>
      <c r="B1122" s="153">
        <v>8</v>
      </c>
      <c r="C1122" s="153" t="s">
        <v>1604</v>
      </c>
      <c r="D1122" s="153" t="s">
        <v>1605</v>
      </c>
      <c r="E1122" s="153" t="s">
        <v>1312</v>
      </c>
      <c r="F1122" s="221">
        <v>1550</v>
      </c>
      <c r="G1122" s="164">
        <v>40</v>
      </c>
      <c r="H1122" s="164">
        <v>40</v>
      </c>
      <c r="I1122" s="164">
        <v>40</v>
      </c>
      <c r="J1122" s="164">
        <f t="shared" ref="J1122:L1122" si="1021">$F1122*G1122</f>
        <v>62000</v>
      </c>
      <c r="K1122" s="164">
        <f t="shared" si="1021"/>
        <v>62000</v>
      </c>
      <c r="L1122" s="164">
        <f t="shared" si="1021"/>
        <v>62000</v>
      </c>
      <c r="M1122" s="111"/>
      <c r="N1122" s="242"/>
      <c r="O1122" s="111"/>
      <c r="P1122" s="210"/>
      <c r="Q1122" s="111"/>
      <c r="R1122" s="111"/>
      <c r="S1122" s="712"/>
      <c r="T1122" s="111"/>
      <c r="U1122" s="111"/>
      <c r="V1122" s="67"/>
      <c r="W1122" s="132"/>
      <c r="X1122" s="133"/>
      <c r="Y1122" s="132"/>
      <c r="Z1122" s="132"/>
      <c r="AA1122" s="132"/>
      <c r="AB1122" s="132"/>
      <c r="AC1122" s="132"/>
      <c r="AD1122" s="133"/>
      <c r="AE1122" s="132"/>
      <c r="AF1122" s="111"/>
      <c r="AG1122" s="67"/>
    </row>
    <row r="1123" spans="1:33">
      <c r="A1123" s="134"/>
      <c r="B1123" s="153">
        <v>9</v>
      </c>
      <c r="C1123" s="153" t="s">
        <v>1599</v>
      </c>
      <c r="D1123" s="153" t="s">
        <v>1606</v>
      </c>
      <c r="E1123" s="153" t="s">
        <v>1312</v>
      </c>
      <c r="F1123" s="221">
        <v>12915</v>
      </c>
      <c r="G1123" s="164">
        <v>5</v>
      </c>
      <c r="H1123" s="164">
        <v>4</v>
      </c>
      <c r="I1123" s="164">
        <v>0</v>
      </c>
      <c r="J1123" s="164">
        <f t="shared" ref="J1123:L1123" si="1022">$F1123*G1123</f>
        <v>64575</v>
      </c>
      <c r="K1123" s="164">
        <f t="shared" si="1022"/>
        <v>51660</v>
      </c>
      <c r="L1123" s="164">
        <f t="shared" si="1022"/>
        <v>0</v>
      </c>
      <c r="M1123" s="111"/>
      <c r="N1123" s="242"/>
      <c r="O1123" s="111"/>
      <c r="P1123" s="210"/>
      <c r="Q1123" s="111"/>
      <c r="R1123" s="111"/>
      <c r="S1123" s="712"/>
      <c r="T1123" s="111"/>
      <c r="U1123" s="111"/>
      <c r="V1123" s="67"/>
      <c r="W1123" s="132"/>
      <c r="X1123" s="133"/>
      <c r="Y1123" s="132"/>
      <c r="Z1123" s="132"/>
      <c r="AA1123" s="132"/>
      <c r="AB1123" s="132"/>
      <c r="AC1123" s="132"/>
      <c r="AD1123" s="133"/>
      <c r="AE1123" s="132"/>
      <c r="AF1123" s="111"/>
      <c r="AG1123" s="67"/>
    </row>
    <row r="1124" spans="1:33">
      <c r="A1124" s="134"/>
      <c r="B1124" s="153">
        <v>10</v>
      </c>
      <c r="C1124" s="153" t="s">
        <v>1599</v>
      </c>
      <c r="D1124" s="153" t="s">
        <v>1607</v>
      </c>
      <c r="E1124" s="153" t="s">
        <v>1312</v>
      </c>
      <c r="F1124" s="221">
        <v>103</v>
      </c>
      <c r="G1124" s="164">
        <v>500</v>
      </c>
      <c r="H1124" s="164">
        <v>400</v>
      </c>
      <c r="I1124" s="164">
        <v>400</v>
      </c>
      <c r="J1124" s="164">
        <f t="shared" ref="J1124:L1124" si="1023">$F1124*G1124</f>
        <v>51500</v>
      </c>
      <c r="K1124" s="164">
        <f t="shared" si="1023"/>
        <v>41200</v>
      </c>
      <c r="L1124" s="164">
        <f t="shared" si="1023"/>
        <v>41200</v>
      </c>
      <c r="M1124" s="111"/>
      <c r="N1124" s="242"/>
      <c r="O1124" s="111"/>
      <c r="P1124" s="210"/>
      <c r="Q1124" s="111"/>
      <c r="R1124" s="111"/>
      <c r="S1124" s="712"/>
      <c r="T1124" s="111"/>
      <c r="U1124" s="111"/>
      <c r="V1124" s="67"/>
      <c r="W1124" s="132"/>
      <c r="X1124" s="133"/>
      <c r="Y1124" s="132"/>
      <c r="Z1124" s="132"/>
      <c r="AA1124" s="132"/>
      <c r="AB1124" s="132"/>
      <c r="AC1124" s="132"/>
      <c r="AD1124" s="133"/>
      <c r="AE1124" s="132"/>
      <c r="AF1124" s="111"/>
      <c r="AG1124" s="67"/>
    </row>
    <row r="1125" spans="1:33">
      <c r="A1125" s="134"/>
      <c r="B1125" s="153">
        <v>11</v>
      </c>
      <c r="C1125" s="153" t="s">
        <v>1608</v>
      </c>
      <c r="D1125" s="153" t="s">
        <v>1609</v>
      </c>
      <c r="E1125" s="153" t="s">
        <v>1312</v>
      </c>
      <c r="F1125" s="221">
        <v>181</v>
      </c>
      <c r="G1125" s="164">
        <v>400</v>
      </c>
      <c r="H1125" s="164">
        <v>400</v>
      </c>
      <c r="I1125" s="164">
        <v>400</v>
      </c>
      <c r="J1125" s="164">
        <f t="shared" ref="J1125:L1125" si="1024">$F1125*G1125</f>
        <v>72400</v>
      </c>
      <c r="K1125" s="164">
        <f t="shared" si="1024"/>
        <v>72400</v>
      </c>
      <c r="L1125" s="164">
        <f t="shared" si="1024"/>
        <v>72400</v>
      </c>
      <c r="M1125" s="111"/>
      <c r="N1125" s="242"/>
      <c r="O1125" s="111"/>
      <c r="P1125" s="210"/>
      <c r="Q1125" s="111"/>
      <c r="R1125" s="111"/>
      <c r="S1125" s="712"/>
      <c r="T1125" s="111"/>
      <c r="U1125" s="111"/>
      <c r="V1125" s="67"/>
      <c r="W1125" s="132"/>
      <c r="X1125" s="133"/>
      <c r="Y1125" s="132"/>
      <c r="Z1125" s="132"/>
      <c r="AA1125" s="132"/>
      <c r="AB1125" s="132"/>
      <c r="AC1125" s="132"/>
      <c r="AD1125" s="133"/>
      <c r="AE1125" s="132"/>
      <c r="AF1125" s="111"/>
      <c r="AG1125" s="67"/>
    </row>
    <row r="1126" spans="1:33">
      <c r="A1126" s="134"/>
      <c r="B1126" s="153">
        <v>12</v>
      </c>
      <c r="C1126" s="153" t="s">
        <v>1599</v>
      </c>
      <c r="D1126" s="153" t="s">
        <v>1610</v>
      </c>
      <c r="E1126" s="153" t="s">
        <v>1312</v>
      </c>
      <c r="F1126" s="221">
        <v>23247</v>
      </c>
      <c r="G1126" s="164">
        <v>5</v>
      </c>
      <c r="H1126" s="164">
        <v>4</v>
      </c>
      <c r="I1126" s="164">
        <v>0</v>
      </c>
      <c r="J1126" s="164">
        <f t="shared" ref="J1126:L1126" si="1025">$F1126*G1126</f>
        <v>116235</v>
      </c>
      <c r="K1126" s="164">
        <f t="shared" si="1025"/>
        <v>92988</v>
      </c>
      <c r="L1126" s="164">
        <f t="shared" si="1025"/>
        <v>0</v>
      </c>
      <c r="M1126" s="111"/>
      <c r="N1126" s="242"/>
      <c r="O1126" s="111"/>
      <c r="P1126" s="210"/>
      <c r="Q1126" s="111"/>
      <c r="R1126" s="111"/>
      <c r="S1126" s="712"/>
      <c r="T1126" s="111"/>
      <c r="U1126" s="111"/>
      <c r="V1126" s="67"/>
      <c r="W1126" s="132"/>
      <c r="X1126" s="133"/>
      <c r="Y1126" s="132"/>
      <c r="Z1126" s="132"/>
      <c r="AA1126" s="132"/>
      <c r="AB1126" s="132"/>
      <c r="AC1126" s="132"/>
      <c r="AD1126" s="133"/>
      <c r="AE1126" s="132"/>
      <c r="AF1126" s="111"/>
      <c r="AG1126" s="67"/>
    </row>
    <row r="1127" spans="1:33">
      <c r="A1127" s="134"/>
      <c r="B1127" s="153">
        <v>13</v>
      </c>
      <c r="C1127" s="153" t="s">
        <v>1611</v>
      </c>
      <c r="D1127" s="153" t="s">
        <v>1612</v>
      </c>
      <c r="E1127" s="153" t="s">
        <v>1613</v>
      </c>
      <c r="F1127" s="221">
        <v>1292</v>
      </c>
      <c r="G1127" s="164">
        <v>45</v>
      </c>
      <c r="H1127" s="164">
        <v>45</v>
      </c>
      <c r="I1127" s="164">
        <v>45</v>
      </c>
      <c r="J1127" s="164">
        <f t="shared" ref="J1127:L1127" si="1026">$F1127*G1127</f>
        <v>58140</v>
      </c>
      <c r="K1127" s="164">
        <f t="shared" si="1026"/>
        <v>58140</v>
      </c>
      <c r="L1127" s="164">
        <f t="shared" si="1026"/>
        <v>58140</v>
      </c>
      <c r="M1127" s="111"/>
      <c r="N1127" s="242"/>
      <c r="O1127" s="111"/>
      <c r="P1127" s="210"/>
      <c r="Q1127" s="111"/>
      <c r="R1127" s="111"/>
      <c r="S1127" s="712"/>
      <c r="T1127" s="111"/>
      <c r="U1127" s="111"/>
      <c r="V1127" s="67"/>
      <c r="W1127" s="132"/>
      <c r="X1127" s="133"/>
      <c r="Y1127" s="132"/>
      <c r="Z1127" s="132"/>
      <c r="AA1127" s="132"/>
      <c r="AB1127" s="132"/>
      <c r="AC1127" s="132"/>
      <c r="AD1127" s="133"/>
      <c r="AE1127" s="132"/>
      <c r="AF1127" s="111"/>
      <c r="AG1127" s="67"/>
    </row>
    <row r="1128" spans="1:33">
      <c r="A1128" s="134"/>
      <c r="B1128" s="186"/>
      <c r="C1128" s="186" t="s">
        <v>770</v>
      </c>
      <c r="D1128" s="186"/>
      <c r="E1128" s="186"/>
      <c r="F1128" s="276"/>
      <c r="G1128" s="276"/>
      <c r="H1128" s="276"/>
      <c r="I1128" s="276"/>
      <c r="J1128" s="276">
        <f t="shared" ref="J1128:L1128" si="1027">SUM(J1115:J1127)</f>
        <v>1365770</v>
      </c>
      <c r="K1128" s="276">
        <f t="shared" si="1027"/>
        <v>1223716</v>
      </c>
      <c r="L1128" s="276">
        <f t="shared" si="1027"/>
        <v>769100</v>
      </c>
      <c r="M1128" s="111"/>
      <c r="N1128" s="111"/>
      <c r="O1128" s="111"/>
      <c r="P1128" s="111"/>
      <c r="Q1128" s="111"/>
      <c r="R1128" s="111"/>
      <c r="S1128" s="712"/>
      <c r="T1128" s="111"/>
      <c r="U1128" s="111"/>
      <c r="V1128" s="67"/>
      <c r="W1128" s="132"/>
      <c r="X1128" s="133"/>
      <c r="Y1128" s="132"/>
      <c r="Z1128" s="132"/>
      <c r="AA1128" s="133"/>
      <c r="AB1128" s="132"/>
      <c r="AC1128" s="132"/>
      <c r="AD1128" s="133"/>
      <c r="AE1128" s="132"/>
      <c r="AF1128" s="111"/>
      <c r="AG1128" s="67"/>
    </row>
    <row r="1129" spans="1:33">
      <c r="A1129" s="9"/>
      <c r="B1129" s="215"/>
      <c r="C1129" s="215"/>
      <c r="D1129" s="215"/>
      <c r="E1129" s="215"/>
      <c r="F1129" s="215"/>
      <c r="G1129" s="215"/>
      <c r="H1129" s="215"/>
      <c r="I1129" s="215"/>
      <c r="J1129" s="215"/>
      <c r="K1129" s="215"/>
      <c r="L1129" s="151">
        <f>L1128/26.52</f>
        <v>29000.754147812971</v>
      </c>
      <c r="M1129" s="111"/>
      <c r="N1129" s="111"/>
      <c r="O1129" s="111"/>
      <c r="P1129" s="111"/>
      <c r="Q1129" s="111"/>
      <c r="R1129" s="111"/>
      <c r="S1129" s="712"/>
      <c r="T1129" s="111"/>
      <c r="U1129" s="111"/>
      <c r="V1129" s="67"/>
      <c r="W1129" s="111"/>
      <c r="X1129" s="132"/>
      <c r="Y1129" s="133"/>
      <c r="Z1129" s="132"/>
      <c r="AA1129" s="132"/>
      <c r="AB1129" s="133"/>
      <c r="AC1129" s="132"/>
      <c r="AD1129" s="132"/>
      <c r="AE1129" s="133"/>
      <c r="AF1129" s="132"/>
      <c r="AG1129" s="67"/>
    </row>
    <row r="1130" spans="1:33">
      <c r="A1130" s="9"/>
      <c r="B1130" s="215"/>
      <c r="C1130" s="215"/>
      <c r="D1130" s="215"/>
      <c r="E1130" s="215"/>
      <c r="F1130" s="215"/>
      <c r="G1130" s="215"/>
      <c r="H1130" s="215"/>
      <c r="I1130" s="215"/>
      <c r="J1130" s="215"/>
      <c r="K1130" s="215"/>
      <c r="L1130" s="111"/>
      <c r="M1130" s="111"/>
      <c r="N1130" s="111"/>
      <c r="O1130" s="111"/>
      <c r="P1130" s="111"/>
      <c r="Q1130" s="111"/>
      <c r="R1130" s="111"/>
      <c r="S1130" s="712"/>
      <c r="T1130" s="111"/>
      <c r="U1130" s="111"/>
      <c r="V1130" s="67"/>
      <c r="W1130" s="111"/>
      <c r="X1130" s="132"/>
      <c r="Y1130" s="133"/>
      <c r="Z1130" s="132"/>
      <c r="AA1130" s="132"/>
      <c r="AB1130" s="133"/>
      <c r="AC1130" s="132"/>
      <c r="AD1130" s="132"/>
      <c r="AE1130" s="133"/>
      <c r="AF1130" s="132"/>
      <c r="AG1130" s="67"/>
    </row>
    <row r="1131" spans="1:33">
      <c r="A1131" s="725">
        <v>64</v>
      </c>
      <c r="B1131" s="726" t="s">
        <v>1016</v>
      </c>
      <c r="C1131" s="731"/>
      <c r="D1131" s="731"/>
      <c r="E1131" s="731"/>
      <c r="F1131" s="731"/>
      <c r="G1131" s="731"/>
      <c r="H1131" s="731"/>
      <c r="I1131" s="111"/>
      <c r="J1131" s="111"/>
      <c r="K1131" s="111"/>
      <c r="L1131" s="111"/>
      <c r="M1131" s="111"/>
      <c r="N1131" s="111"/>
      <c r="O1131" s="111"/>
      <c r="P1131" s="111"/>
      <c r="Q1131" s="111"/>
      <c r="R1131" s="111"/>
      <c r="S1131" s="712"/>
      <c r="T1131" s="111"/>
      <c r="U1131" s="111"/>
      <c r="V1131" s="67"/>
      <c r="W1131" s="111"/>
      <c r="X1131" s="132"/>
      <c r="Y1131" s="133"/>
      <c r="Z1131" s="132"/>
      <c r="AA1131" s="132"/>
      <c r="AB1131" s="133"/>
      <c r="AC1131" s="132"/>
      <c r="AD1131" s="132"/>
      <c r="AE1131" s="133"/>
      <c r="AF1131" s="132"/>
      <c r="AG1131" s="67"/>
    </row>
    <row r="1132" spans="1:33">
      <c r="A1132" s="134"/>
      <c r="B1132" s="143" t="s">
        <v>755</v>
      </c>
      <c r="C1132" s="143" t="s">
        <v>756</v>
      </c>
      <c r="D1132" s="143" t="s">
        <v>1017</v>
      </c>
      <c r="E1132" s="143" t="s">
        <v>765</v>
      </c>
      <c r="F1132" s="143" t="s">
        <v>1018</v>
      </c>
      <c r="G1132" s="143" t="s">
        <v>1019</v>
      </c>
      <c r="H1132" s="143" t="s">
        <v>933</v>
      </c>
      <c r="I1132" s="111"/>
      <c r="J1132" s="111"/>
      <c r="K1132" s="111"/>
      <c r="L1132" s="111"/>
      <c r="M1132" s="111"/>
      <c r="N1132" s="111"/>
      <c r="O1132" s="111"/>
      <c r="P1132" s="111"/>
      <c r="Q1132" s="111"/>
      <c r="R1132" s="111"/>
      <c r="S1132" s="712"/>
      <c r="T1132" s="111"/>
      <c r="U1132" s="111"/>
      <c r="V1132" s="67"/>
      <c r="W1132" s="111"/>
      <c r="X1132" s="132"/>
      <c r="Y1132" s="133"/>
      <c r="Z1132" s="132"/>
      <c r="AA1132" s="132"/>
      <c r="AB1132" s="133"/>
      <c r="AC1132" s="132"/>
      <c r="AD1132" s="132"/>
      <c r="AE1132" s="133"/>
      <c r="AF1132" s="132"/>
      <c r="AG1132" s="67"/>
    </row>
    <row r="1133" spans="1:33">
      <c r="A1133" s="134"/>
      <c r="B1133" s="153">
        <v>1</v>
      </c>
      <c r="C1133" s="121" t="s">
        <v>1614</v>
      </c>
      <c r="D1133" s="294">
        <v>90000</v>
      </c>
      <c r="E1133" s="164">
        <v>1</v>
      </c>
      <c r="F1133" s="164"/>
      <c r="G1133" s="164"/>
      <c r="H1133" s="164">
        <f t="shared" ref="H1133:H1135" si="1028">D1133*E1133</f>
        <v>90000</v>
      </c>
      <c r="I1133" s="182"/>
      <c r="J1133" s="111"/>
      <c r="K1133" s="111"/>
      <c r="L1133" s="111"/>
      <c r="M1133" s="111"/>
      <c r="N1133" s="111"/>
      <c r="O1133" s="111"/>
      <c r="P1133" s="111"/>
      <c r="Q1133" s="111"/>
      <c r="R1133" s="111"/>
      <c r="S1133" s="712"/>
      <c r="T1133" s="111"/>
      <c r="U1133" s="111"/>
      <c r="V1133" s="67"/>
      <c r="W1133" s="111"/>
      <c r="X1133" s="132"/>
      <c r="Y1133" s="133"/>
      <c r="Z1133" s="132"/>
      <c r="AA1133" s="132"/>
      <c r="AB1133" s="133"/>
      <c r="AC1133" s="132"/>
      <c r="AD1133" s="132"/>
      <c r="AE1133" s="133"/>
      <c r="AF1133" s="132"/>
      <c r="AG1133" s="67"/>
    </row>
    <row r="1134" spans="1:33">
      <c r="A1134" s="134"/>
      <c r="B1134" s="153">
        <v>2</v>
      </c>
      <c r="C1134" s="121" t="s">
        <v>1615</v>
      </c>
      <c r="D1134" s="294">
        <v>98000</v>
      </c>
      <c r="E1134" s="164">
        <v>1</v>
      </c>
      <c r="F1134" s="164"/>
      <c r="G1134" s="164"/>
      <c r="H1134" s="164">
        <f t="shared" si="1028"/>
        <v>98000</v>
      </c>
      <c r="I1134" s="111"/>
      <c r="J1134" s="111"/>
      <c r="K1134" s="111"/>
      <c r="L1134" s="111"/>
      <c r="M1134" s="111"/>
      <c r="N1134" s="111"/>
      <c r="O1134" s="111"/>
      <c r="P1134" s="111"/>
      <c r="Q1134" s="111"/>
      <c r="R1134" s="111"/>
      <c r="S1134" s="712"/>
      <c r="T1134" s="111"/>
      <c r="U1134" s="111"/>
      <c r="V1134" s="67"/>
      <c r="W1134" s="111"/>
      <c r="X1134" s="132"/>
      <c r="Y1134" s="133"/>
      <c r="Z1134" s="132"/>
      <c r="AA1134" s="132"/>
      <c r="AB1134" s="133"/>
      <c r="AC1134" s="132"/>
      <c r="AD1134" s="132"/>
      <c r="AE1134" s="133"/>
      <c r="AF1134" s="132"/>
      <c r="AG1134" s="67"/>
    </row>
    <row r="1135" spans="1:33">
      <c r="A1135" s="134"/>
      <c r="B1135" s="153">
        <v>3</v>
      </c>
      <c r="C1135" s="121" t="s">
        <v>1616</v>
      </c>
      <c r="D1135" s="294">
        <v>95300</v>
      </c>
      <c r="E1135" s="164">
        <v>1</v>
      </c>
      <c r="F1135" s="164"/>
      <c r="G1135" s="164"/>
      <c r="H1135" s="164">
        <f t="shared" si="1028"/>
        <v>95300</v>
      </c>
      <c r="I1135" s="111"/>
      <c r="J1135" s="111"/>
      <c r="K1135" s="111"/>
      <c r="L1135" s="111"/>
      <c r="M1135" s="111"/>
      <c r="N1135" s="111"/>
      <c r="O1135" s="111"/>
      <c r="P1135" s="111"/>
      <c r="Q1135" s="111"/>
      <c r="R1135" s="111"/>
      <c r="S1135" s="712"/>
      <c r="T1135" s="111"/>
      <c r="U1135" s="111"/>
      <c r="V1135" s="67"/>
      <c r="W1135" s="111"/>
      <c r="X1135" s="132"/>
      <c r="Y1135" s="133"/>
      <c r="Z1135" s="132"/>
      <c r="AA1135" s="132"/>
      <c r="AB1135" s="133"/>
      <c r="AC1135" s="132"/>
      <c r="AD1135" s="132"/>
      <c r="AE1135" s="133"/>
      <c r="AF1135" s="132"/>
      <c r="AG1135" s="67"/>
    </row>
    <row r="1136" spans="1:33">
      <c r="A1136" s="134"/>
      <c r="B1136" s="153">
        <v>4</v>
      </c>
      <c r="C1136" s="121" t="s">
        <v>1617</v>
      </c>
      <c r="D1136" s="294">
        <v>700</v>
      </c>
      <c r="E1136" s="164">
        <v>10</v>
      </c>
      <c r="F1136" s="164">
        <v>1</v>
      </c>
      <c r="G1136" s="164">
        <v>100</v>
      </c>
      <c r="H1136" s="164">
        <f>D1136*E1136*G1136</f>
        <v>700000</v>
      </c>
      <c r="I1136" s="111"/>
      <c r="J1136" s="111"/>
      <c r="K1136" s="111"/>
      <c r="L1136" s="111"/>
      <c r="M1136" s="111"/>
      <c r="N1136" s="111"/>
      <c r="O1136" s="111"/>
      <c r="P1136" s="111"/>
      <c r="Q1136" s="111"/>
      <c r="R1136" s="111"/>
      <c r="S1136" s="712"/>
      <c r="T1136" s="111"/>
      <c r="U1136" s="111"/>
      <c r="V1136" s="67"/>
      <c r="W1136" s="111"/>
      <c r="X1136" s="132"/>
      <c r="Y1136" s="133"/>
      <c r="Z1136" s="132"/>
      <c r="AA1136" s="132"/>
      <c r="AB1136" s="133"/>
      <c r="AC1136" s="132"/>
      <c r="AD1136" s="132"/>
      <c r="AE1136" s="133"/>
      <c r="AF1136" s="132"/>
      <c r="AG1136" s="67"/>
    </row>
    <row r="1137" spans="1:33">
      <c r="A1137" s="134"/>
      <c r="B1137" s="153">
        <v>5</v>
      </c>
      <c r="C1137" s="121" t="s">
        <v>1618</v>
      </c>
      <c r="D1137" s="294">
        <v>30000</v>
      </c>
      <c r="E1137" s="164">
        <v>1</v>
      </c>
      <c r="F1137" s="164"/>
      <c r="G1137" s="164"/>
      <c r="H1137" s="164">
        <f t="shared" ref="H1137:H1138" si="1029">D1137*E1137</f>
        <v>30000</v>
      </c>
      <c r="I1137" s="111"/>
      <c r="J1137" s="111"/>
      <c r="K1137" s="111"/>
      <c r="L1137" s="111"/>
      <c r="M1137" s="111"/>
      <c r="N1137" s="111"/>
      <c r="O1137" s="111"/>
      <c r="P1137" s="111"/>
      <c r="Q1137" s="111"/>
      <c r="R1137" s="111"/>
      <c r="S1137" s="712"/>
      <c r="T1137" s="111"/>
      <c r="U1137" s="111"/>
      <c r="V1137" s="67"/>
      <c r="W1137" s="111"/>
      <c r="X1137" s="132"/>
      <c r="Y1137" s="133"/>
      <c r="Z1137" s="132"/>
      <c r="AA1137" s="132"/>
      <c r="AB1137" s="133"/>
      <c r="AC1137" s="132"/>
      <c r="AD1137" s="132"/>
      <c r="AE1137" s="133"/>
      <c r="AF1137" s="132"/>
      <c r="AG1137" s="67"/>
    </row>
    <row r="1138" spans="1:33">
      <c r="A1138" s="134"/>
      <c r="B1138" s="153">
        <v>6</v>
      </c>
      <c r="C1138" s="121" t="s">
        <v>1619</v>
      </c>
      <c r="D1138" s="294">
        <v>28500</v>
      </c>
      <c r="E1138" s="164">
        <v>1</v>
      </c>
      <c r="F1138" s="164"/>
      <c r="G1138" s="164">
        <v>1</v>
      </c>
      <c r="H1138" s="164">
        <f t="shared" si="1029"/>
        <v>28500</v>
      </c>
      <c r="I1138" s="111"/>
      <c r="J1138" s="111"/>
      <c r="K1138" s="111"/>
      <c r="L1138" s="111"/>
      <c r="M1138" s="111"/>
      <c r="N1138" s="111"/>
      <c r="O1138" s="111"/>
      <c r="P1138" s="111"/>
      <c r="Q1138" s="111"/>
      <c r="R1138" s="111"/>
      <c r="S1138" s="712"/>
      <c r="T1138" s="111"/>
      <c r="U1138" s="111"/>
      <c r="V1138" s="67"/>
      <c r="W1138" s="111"/>
      <c r="X1138" s="132"/>
      <c r="Y1138" s="133"/>
      <c r="Z1138" s="132"/>
      <c r="AA1138" s="132"/>
      <c r="AB1138" s="133"/>
      <c r="AC1138" s="132"/>
      <c r="AD1138" s="132"/>
      <c r="AE1138" s="133"/>
      <c r="AF1138" s="132"/>
      <c r="AG1138" s="67"/>
    </row>
    <row r="1139" spans="1:33">
      <c r="A1139" s="134"/>
      <c r="B1139" s="906" t="s">
        <v>770</v>
      </c>
      <c r="C1139" s="895"/>
      <c r="D1139" s="895"/>
      <c r="E1139" s="895"/>
      <c r="F1139" s="895"/>
      <c r="G1139" s="896"/>
      <c r="H1139" s="295">
        <f>SUM(H1133:H1138)</f>
        <v>1041800</v>
      </c>
      <c r="I1139" s="111"/>
      <c r="J1139" s="111"/>
      <c r="K1139" s="111"/>
      <c r="L1139" s="111"/>
      <c r="M1139" s="111"/>
      <c r="N1139" s="111"/>
      <c r="O1139" s="111"/>
      <c r="P1139" s="111"/>
      <c r="Q1139" s="111"/>
      <c r="R1139" s="111"/>
      <c r="S1139" s="712"/>
      <c r="T1139" s="111"/>
      <c r="U1139" s="111"/>
      <c r="V1139" s="67"/>
      <c r="W1139" s="111"/>
      <c r="X1139" s="132"/>
      <c r="Y1139" s="133"/>
      <c r="Z1139" s="132"/>
      <c r="AA1139" s="132"/>
      <c r="AB1139" s="133"/>
      <c r="AC1139" s="132"/>
      <c r="AD1139" s="132"/>
      <c r="AE1139" s="133"/>
      <c r="AF1139" s="132"/>
      <c r="AG1139" s="67"/>
    </row>
    <row r="1140" spans="1:33">
      <c r="A1140" s="9"/>
      <c r="B1140" s="203"/>
      <c r="C1140" s="203"/>
      <c r="D1140" s="203"/>
      <c r="E1140" s="203"/>
      <c r="F1140" s="203"/>
      <c r="G1140" s="204" t="s">
        <v>791</v>
      </c>
      <c r="H1140" s="205">
        <f>SUM(H1132:H1138)/5/21/E1136</f>
        <v>992.19047619047615</v>
      </c>
      <c r="I1140" s="111"/>
      <c r="J1140" s="111"/>
      <c r="K1140" s="111"/>
      <c r="L1140" s="111"/>
      <c r="M1140" s="111"/>
      <c r="N1140" s="111"/>
      <c r="O1140" s="111"/>
      <c r="P1140" s="111"/>
      <c r="Q1140" s="111"/>
      <c r="R1140" s="111"/>
      <c r="S1140" s="712"/>
      <c r="T1140" s="111"/>
      <c r="U1140" s="111"/>
      <c r="V1140" s="67"/>
      <c r="W1140" s="111"/>
      <c r="X1140" s="132"/>
      <c r="Y1140" s="133"/>
      <c r="Z1140" s="132"/>
      <c r="AA1140" s="132"/>
      <c r="AB1140" s="133"/>
      <c r="AC1140" s="132"/>
      <c r="AD1140" s="132"/>
      <c r="AE1140" s="133"/>
      <c r="AF1140" s="132"/>
      <c r="AG1140" s="67"/>
    </row>
    <row r="1141" spans="1:33">
      <c r="A1141" s="9"/>
      <c r="B1141" s="203"/>
      <c r="C1141" s="203"/>
      <c r="D1141" s="203"/>
      <c r="E1141" s="203"/>
      <c r="F1141" s="203"/>
      <c r="G1141" s="206" t="s">
        <v>792</v>
      </c>
      <c r="H1141" s="730">
        <f>H1139/H1140</f>
        <v>1050</v>
      </c>
      <c r="I1141" s="111"/>
      <c r="J1141" s="111"/>
      <c r="K1141" s="111"/>
      <c r="L1141" s="111"/>
      <c r="M1141" s="111"/>
      <c r="N1141" s="111"/>
      <c r="O1141" s="111"/>
      <c r="P1141" s="111"/>
      <c r="Q1141" s="111"/>
      <c r="R1141" s="111"/>
      <c r="S1141" s="712"/>
      <c r="T1141" s="111"/>
      <c r="U1141" s="111"/>
      <c r="V1141" s="67"/>
      <c r="W1141" s="111"/>
      <c r="X1141" s="132"/>
      <c r="Y1141" s="133"/>
      <c r="Z1141" s="132"/>
      <c r="AA1141" s="132"/>
      <c r="AB1141" s="133"/>
      <c r="AC1141" s="132"/>
      <c r="AD1141" s="132"/>
      <c r="AE1141" s="133"/>
      <c r="AF1141" s="132"/>
      <c r="AG1141" s="67"/>
    </row>
    <row r="1142" spans="1:33">
      <c r="A1142" s="9"/>
      <c r="B1142" s="215"/>
      <c r="C1142" s="215"/>
      <c r="D1142" s="215"/>
      <c r="E1142" s="215"/>
      <c r="F1142" s="215"/>
      <c r="G1142" s="215"/>
      <c r="H1142" s="215"/>
      <c r="I1142" s="215"/>
      <c r="J1142" s="215"/>
      <c r="K1142" s="215"/>
      <c r="L1142" s="111"/>
      <c r="M1142" s="111"/>
      <c r="N1142" s="111"/>
      <c r="O1142" s="111"/>
      <c r="P1142" s="111"/>
      <c r="Q1142" s="111"/>
      <c r="R1142" s="111"/>
      <c r="S1142" s="712"/>
      <c r="T1142" s="111"/>
      <c r="U1142" s="111"/>
      <c r="V1142" s="67"/>
      <c r="W1142" s="111"/>
      <c r="X1142" s="132"/>
      <c r="Y1142" s="133"/>
      <c r="Z1142" s="132"/>
      <c r="AA1142" s="132"/>
      <c r="AB1142" s="133"/>
      <c r="AC1142" s="132"/>
      <c r="AD1142" s="132"/>
      <c r="AE1142" s="133"/>
      <c r="AF1142" s="132"/>
      <c r="AG1142" s="67"/>
    </row>
    <row r="1143" spans="1:33">
      <c r="A1143" s="9"/>
      <c r="B1143" s="215"/>
      <c r="C1143" s="215"/>
      <c r="D1143" s="215"/>
      <c r="E1143" s="215"/>
      <c r="F1143" s="215"/>
      <c r="G1143" s="215"/>
      <c r="H1143" s="215"/>
      <c r="I1143" s="215"/>
      <c r="J1143" s="215"/>
      <c r="K1143" s="215"/>
      <c r="L1143" s="111"/>
      <c r="M1143" s="111"/>
      <c r="N1143" s="111"/>
      <c r="O1143" s="111"/>
      <c r="P1143" s="111"/>
      <c r="Q1143" s="111"/>
      <c r="R1143" s="111"/>
      <c r="S1143" s="712"/>
      <c r="T1143" s="111"/>
      <c r="U1143" s="111"/>
      <c r="V1143" s="67"/>
      <c r="W1143" s="111"/>
      <c r="X1143" s="132"/>
      <c r="Y1143" s="133"/>
      <c r="Z1143" s="132"/>
      <c r="AA1143" s="132"/>
      <c r="AB1143" s="133"/>
      <c r="AC1143" s="132"/>
      <c r="AD1143" s="132"/>
      <c r="AE1143" s="133"/>
      <c r="AF1143" s="132"/>
      <c r="AG1143" s="67"/>
    </row>
    <row r="1144" spans="1:33">
      <c r="A1144" s="725">
        <v>65</v>
      </c>
      <c r="B1144" s="726" t="s">
        <v>562</v>
      </c>
      <c r="C1144" s="731"/>
      <c r="D1144" s="731"/>
      <c r="E1144" s="731"/>
      <c r="F1144" s="731"/>
      <c r="G1144" s="731"/>
      <c r="H1144" s="731"/>
      <c r="I1144" s="111"/>
      <c r="J1144" s="111"/>
      <c r="K1144" s="111"/>
      <c r="L1144" s="111"/>
      <c r="M1144" s="111"/>
      <c r="N1144" s="111"/>
      <c r="O1144" s="111"/>
      <c r="P1144" s="111"/>
      <c r="Q1144" s="111"/>
      <c r="R1144" s="111"/>
      <c r="S1144" s="712"/>
      <c r="T1144" s="111"/>
      <c r="U1144" s="111"/>
      <c r="V1144" s="67"/>
      <c r="W1144" s="111"/>
      <c r="X1144" s="132"/>
      <c r="Y1144" s="111"/>
      <c r="Z1144" s="111"/>
      <c r="AA1144" s="111"/>
      <c r="AB1144" s="111"/>
      <c r="AC1144" s="111"/>
      <c r="AD1144" s="111"/>
      <c r="AE1144" s="111"/>
      <c r="AF1144" s="111"/>
      <c r="AG1144" s="67"/>
    </row>
    <row r="1145" spans="1:33">
      <c r="A1145" s="134" t="s">
        <v>164</v>
      </c>
      <c r="B1145" s="143" t="s">
        <v>755</v>
      </c>
      <c r="C1145" s="113" t="s">
        <v>1304</v>
      </c>
      <c r="D1145" s="113" t="s">
        <v>1305</v>
      </c>
      <c r="E1145" s="113" t="s">
        <v>697</v>
      </c>
      <c r="F1145" s="113" t="s">
        <v>1476</v>
      </c>
      <c r="G1145" s="113" t="s">
        <v>1477</v>
      </c>
      <c r="H1145" s="113" t="s">
        <v>1478</v>
      </c>
      <c r="I1145" s="111"/>
      <c r="J1145" s="111"/>
      <c r="K1145" s="111"/>
      <c r="L1145" s="111"/>
      <c r="M1145" s="111"/>
      <c r="N1145" s="111"/>
      <c r="O1145" s="111"/>
      <c r="P1145" s="111"/>
      <c r="Q1145" s="111"/>
      <c r="R1145" s="111"/>
      <c r="S1145" s="712"/>
      <c r="T1145" s="159" t="s">
        <v>387</v>
      </c>
      <c r="U1145" s="159" t="s">
        <v>388</v>
      </c>
      <c r="V1145" s="160" t="s">
        <v>934</v>
      </c>
      <c r="W1145" s="160" t="s">
        <v>935</v>
      </c>
      <c r="X1145" s="161" t="s">
        <v>936</v>
      </c>
      <c r="Y1145" s="162" t="s">
        <v>937</v>
      </c>
      <c r="Z1145" s="161" t="s">
        <v>938</v>
      </c>
      <c r="AA1145" s="111"/>
      <c r="AB1145" s="111"/>
      <c r="AC1145" s="111"/>
      <c r="AD1145" s="111"/>
      <c r="AE1145" s="111"/>
      <c r="AF1145" s="111"/>
      <c r="AG1145" s="67"/>
    </row>
    <row r="1146" spans="1:33">
      <c r="A1146" s="134"/>
      <c r="B1146" s="153">
        <v>1</v>
      </c>
      <c r="C1146" s="153"/>
      <c r="D1146" s="121" t="s">
        <v>1620</v>
      </c>
      <c r="E1146" s="153" t="s">
        <v>949</v>
      </c>
      <c r="F1146" s="164">
        <v>8</v>
      </c>
      <c r="G1146" s="164">
        <f>'Assumptions TRC_AUN'!J268</f>
        <v>26241.5</v>
      </c>
      <c r="H1146" s="164">
        <f t="shared" ref="H1146:H1149" si="1030">$F1146*G1146</f>
        <v>209932</v>
      </c>
      <c r="I1146" s="111"/>
      <c r="J1146" s="151"/>
      <c r="K1146" s="111"/>
      <c r="L1146" s="111"/>
      <c r="M1146" s="111"/>
      <c r="N1146" s="111"/>
      <c r="O1146" s="111"/>
      <c r="P1146" s="111"/>
      <c r="Q1146" s="111"/>
      <c r="R1146" s="111"/>
      <c r="S1146" s="712"/>
      <c r="T1146" s="169" t="s">
        <v>946</v>
      </c>
      <c r="U1146" s="169" t="s">
        <v>946</v>
      </c>
      <c r="V1146" s="121" t="s">
        <v>950</v>
      </c>
      <c r="W1146" s="121" t="s">
        <v>951</v>
      </c>
      <c r="X1146" s="170">
        <f>'Assumptions TRC_AUN'!$J$110</f>
        <v>1336</v>
      </c>
      <c r="Y1146" s="200">
        <f t="shared" ref="Y1146:Y1151" si="1031">Z1146/X1146</f>
        <v>157.13473053892216</v>
      </c>
      <c r="Z1146" s="167">
        <f t="shared" ref="Z1146:Z1151" si="1032">H1146</f>
        <v>209932</v>
      </c>
      <c r="AA1146" s="111"/>
      <c r="AB1146" s="111"/>
      <c r="AC1146" s="111"/>
      <c r="AD1146" s="111"/>
      <c r="AE1146" s="111"/>
      <c r="AF1146" s="111"/>
      <c r="AG1146" s="67"/>
    </row>
    <row r="1147" spans="1:33">
      <c r="A1147" s="134"/>
      <c r="B1147" s="153">
        <v>2</v>
      </c>
      <c r="C1147" s="153"/>
      <c r="D1147" s="121" t="s">
        <v>1621</v>
      </c>
      <c r="E1147" s="153" t="s">
        <v>1191</v>
      </c>
      <c r="F1147" s="164">
        <v>50</v>
      </c>
      <c r="G1147" s="164">
        <f>'Assumptions TRC_AUN'!$I$185</f>
        <v>11845</v>
      </c>
      <c r="H1147" s="164">
        <f t="shared" si="1030"/>
        <v>592250</v>
      </c>
      <c r="I1147" s="111"/>
      <c r="J1147" s="151"/>
      <c r="K1147" s="111"/>
      <c r="L1147" s="111"/>
      <c r="M1147" s="111"/>
      <c r="N1147" s="111"/>
      <c r="O1147" s="111"/>
      <c r="P1147" s="111"/>
      <c r="Q1147" s="111"/>
      <c r="R1147" s="111"/>
      <c r="S1147" s="712"/>
      <c r="T1147" s="169" t="s">
        <v>946</v>
      </c>
      <c r="U1147" s="169" t="s">
        <v>946</v>
      </c>
      <c r="V1147" s="121" t="s">
        <v>809</v>
      </c>
      <c r="W1147" s="121" t="s">
        <v>791</v>
      </c>
      <c r="X1147" s="170">
        <f>'Assumptions TRC_AUN'!I186</f>
        <v>1974.1666666666667</v>
      </c>
      <c r="Y1147" s="200">
        <f t="shared" si="1031"/>
        <v>300</v>
      </c>
      <c r="Z1147" s="167">
        <f t="shared" si="1032"/>
        <v>592250</v>
      </c>
      <c r="AA1147" s="111"/>
      <c r="AB1147" s="111"/>
      <c r="AC1147" s="111"/>
      <c r="AD1147" s="111"/>
      <c r="AE1147" s="111"/>
      <c r="AF1147" s="111"/>
      <c r="AG1147" s="67"/>
    </row>
    <row r="1148" spans="1:33">
      <c r="A1148" s="134"/>
      <c r="B1148" s="153">
        <v>3</v>
      </c>
      <c r="C1148" s="153"/>
      <c r="D1148" s="121" t="s">
        <v>1622</v>
      </c>
      <c r="E1148" s="153" t="s">
        <v>1517</v>
      </c>
      <c r="F1148" s="164">
        <v>210</v>
      </c>
      <c r="G1148" s="164">
        <f>'Assumptions TRC_AUN'!$E$33</f>
        <v>3334</v>
      </c>
      <c r="H1148" s="164">
        <f t="shared" si="1030"/>
        <v>700140</v>
      </c>
      <c r="I1148" s="111"/>
      <c r="J1148" s="151"/>
      <c r="K1148" s="111"/>
      <c r="L1148" s="111"/>
      <c r="M1148" s="111"/>
      <c r="N1148" s="111"/>
      <c r="O1148" s="111"/>
      <c r="P1148" s="111"/>
      <c r="Q1148" s="111"/>
      <c r="R1148" s="111"/>
      <c r="S1148" s="712"/>
      <c r="T1148" s="169" t="s">
        <v>946</v>
      </c>
      <c r="U1148" s="169" t="s">
        <v>946</v>
      </c>
      <c r="V1148" s="121" t="s">
        <v>848</v>
      </c>
      <c r="W1148" s="164" t="s">
        <v>947</v>
      </c>
      <c r="X1148" s="170">
        <f>'Assumptions TRC_AUN'!$E$33</f>
        <v>3334</v>
      </c>
      <c r="Y1148" s="200">
        <f t="shared" si="1031"/>
        <v>210</v>
      </c>
      <c r="Z1148" s="167">
        <f t="shared" si="1032"/>
        <v>700140</v>
      </c>
      <c r="AA1148" s="111"/>
      <c r="AB1148" s="111"/>
      <c r="AC1148" s="111"/>
      <c r="AD1148" s="111"/>
      <c r="AE1148" s="111"/>
      <c r="AF1148" s="111"/>
      <c r="AG1148" s="67"/>
    </row>
    <row r="1149" spans="1:33">
      <c r="A1149" s="134"/>
      <c r="B1149" s="153">
        <v>4</v>
      </c>
      <c r="C1149" s="121"/>
      <c r="D1149" s="121" t="s">
        <v>1623</v>
      </c>
      <c r="E1149" s="153" t="s">
        <v>1624</v>
      </c>
      <c r="F1149" s="164">
        <v>500</v>
      </c>
      <c r="G1149" s="164">
        <v>100</v>
      </c>
      <c r="H1149" s="164">
        <f t="shared" si="1030"/>
        <v>50000</v>
      </c>
      <c r="I1149" s="111"/>
      <c r="J1149" s="151"/>
      <c r="K1149" s="111"/>
      <c r="L1149" s="111"/>
      <c r="M1149" s="111"/>
      <c r="N1149" s="111"/>
      <c r="O1149" s="111"/>
      <c r="P1149" s="111"/>
      <c r="Q1149" s="111"/>
      <c r="R1149" s="111"/>
      <c r="S1149" s="712"/>
      <c r="T1149" s="169" t="s">
        <v>946</v>
      </c>
      <c r="U1149" s="169" t="s">
        <v>946</v>
      </c>
      <c r="V1149" s="121" t="s">
        <v>1000</v>
      </c>
      <c r="W1149" s="121" t="s">
        <v>789</v>
      </c>
      <c r="X1149" s="170">
        <f>H1149</f>
        <v>50000</v>
      </c>
      <c r="Y1149" s="200">
        <f t="shared" si="1031"/>
        <v>1</v>
      </c>
      <c r="Z1149" s="167">
        <f t="shared" si="1032"/>
        <v>50000</v>
      </c>
      <c r="AA1149" s="111"/>
      <c r="AB1149" s="111"/>
      <c r="AC1149" s="111"/>
      <c r="AD1149" s="111"/>
      <c r="AE1149" s="111"/>
      <c r="AF1149" s="111"/>
      <c r="AG1149" s="67"/>
    </row>
    <row r="1150" spans="1:33">
      <c r="A1150" s="134"/>
      <c r="B1150" s="153">
        <v>5</v>
      </c>
      <c r="C1150" s="121" t="s">
        <v>1001</v>
      </c>
      <c r="D1150" s="121"/>
      <c r="E1150" s="153"/>
      <c r="F1150" s="164"/>
      <c r="G1150" s="164"/>
      <c r="H1150" s="164">
        <f>SUM(H1146:H1149)*10%</f>
        <v>155232.20000000001</v>
      </c>
      <c r="I1150" s="111"/>
      <c r="J1150" s="151"/>
      <c r="K1150" s="111"/>
      <c r="L1150" s="111"/>
      <c r="M1150" s="111"/>
      <c r="N1150" s="111"/>
      <c r="O1150" s="111"/>
      <c r="P1150" s="111"/>
      <c r="Q1150" s="111"/>
      <c r="R1150" s="111"/>
      <c r="S1150" s="712"/>
      <c r="T1150" s="169" t="s">
        <v>946</v>
      </c>
      <c r="U1150" s="169" t="s">
        <v>946</v>
      </c>
      <c r="V1150" s="121" t="s">
        <v>875</v>
      </c>
      <c r="W1150" s="121" t="s">
        <v>961</v>
      </c>
      <c r="X1150" s="170">
        <f>'Assumptions HR_AUN'!$D$4*3</f>
        <v>88211.039066799218</v>
      </c>
      <c r="Y1150" s="200">
        <f t="shared" si="1031"/>
        <v>1.7597820141586582</v>
      </c>
      <c r="Z1150" s="167">
        <f t="shared" si="1032"/>
        <v>155232.20000000001</v>
      </c>
      <c r="AA1150" s="111"/>
      <c r="AB1150" s="111"/>
      <c r="AC1150" s="111"/>
      <c r="AD1150" s="111"/>
      <c r="AE1150" s="111"/>
      <c r="AF1150" s="111"/>
      <c r="AG1150" s="67"/>
    </row>
    <row r="1151" spans="1:33">
      <c r="A1151" s="134"/>
      <c r="B1151" s="153">
        <v>6</v>
      </c>
      <c r="C1151" s="121" t="s">
        <v>962</v>
      </c>
      <c r="D1151" s="153"/>
      <c r="E1151" s="153"/>
      <c r="F1151" s="221"/>
      <c r="G1151" s="164"/>
      <c r="H1151" s="164">
        <f>SUM(H1146:H1149)*15%</f>
        <v>232848.3</v>
      </c>
      <c r="I1151" s="111"/>
      <c r="J1151" s="151"/>
      <c r="K1151" s="111"/>
      <c r="L1151" s="111"/>
      <c r="M1151" s="111"/>
      <c r="N1151" s="111"/>
      <c r="O1151" s="111"/>
      <c r="P1151" s="111"/>
      <c r="Q1151" s="111"/>
      <c r="R1151" s="111"/>
      <c r="S1151" s="712"/>
      <c r="T1151" s="169" t="s">
        <v>946</v>
      </c>
      <c r="U1151" s="169" t="s">
        <v>946</v>
      </c>
      <c r="V1151" s="121" t="s">
        <v>881</v>
      </c>
      <c r="W1151" s="121" t="s">
        <v>964</v>
      </c>
      <c r="X1151" s="170">
        <f>H1151/4</f>
        <v>58212.074999999997</v>
      </c>
      <c r="Y1151" s="200">
        <f t="shared" si="1031"/>
        <v>4</v>
      </c>
      <c r="Z1151" s="167">
        <f t="shared" si="1032"/>
        <v>232848.3</v>
      </c>
      <c r="AA1151" s="111"/>
      <c r="AB1151" s="111"/>
      <c r="AC1151" s="111"/>
      <c r="AD1151" s="111"/>
      <c r="AE1151" s="111"/>
      <c r="AF1151" s="111"/>
      <c r="AG1151" s="67"/>
    </row>
    <row r="1152" spans="1:33">
      <c r="A1152" s="134"/>
      <c r="B1152" s="186"/>
      <c r="C1152" s="186" t="s">
        <v>770</v>
      </c>
      <c r="D1152" s="186"/>
      <c r="E1152" s="186"/>
      <c r="F1152" s="276"/>
      <c r="G1152" s="276"/>
      <c r="H1152" s="276">
        <f>SUM(H1146:H1151)</f>
        <v>1940402.5</v>
      </c>
      <c r="I1152" s="111"/>
      <c r="J1152" s="111"/>
      <c r="K1152" s="111"/>
      <c r="L1152" s="111"/>
      <c r="M1152" s="111"/>
      <c r="N1152" s="111"/>
      <c r="O1152" s="111"/>
      <c r="P1152" s="111"/>
      <c r="Q1152" s="111"/>
      <c r="R1152" s="111"/>
      <c r="S1152" s="712"/>
      <c r="T1152" s="111"/>
      <c r="U1152" s="111"/>
      <c r="V1152" s="67"/>
      <c r="W1152" s="111"/>
      <c r="X1152" s="132"/>
      <c r="Y1152" s="111"/>
      <c r="Z1152" s="111"/>
      <c r="AA1152" s="111"/>
      <c r="AB1152" s="111"/>
      <c r="AC1152" s="111"/>
      <c r="AD1152" s="111"/>
      <c r="AE1152" s="111"/>
      <c r="AF1152" s="111"/>
      <c r="AG1152" s="67"/>
    </row>
    <row r="1153" spans="1:33">
      <c r="A1153" s="9"/>
      <c r="B1153" s="215"/>
      <c r="C1153" s="215"/>
      <c r="D1153" s="215"/>
      <c r="E1153" s="215"/>
      <c r="F1153" s="215"/>
      <c r="G1153" s="215"/>
      <c r="H1153" s="215"/>
      <c r="I1153" s="215"/>
      <c r="J1153" s="215"/>
      <c r="K1153" s="215"/>
      <c r="L1153" s="111"/>
      <c r="M1153" s="111"/>
      <c r="N1153" s="111"/>
      <c r="O1153" s="111"/>
      <c r="P1153" s="111"/>
      <c r="Q1153" s="111"/>
      <c r="R1153" s="111"/>
      <c r="S1153" s="712"/>
      <c r="T1153" s="111"/>
      <c r="U1153" s="111"/>
      <c r="V1153" s="67"/>
      <c r="W1153" s="111"/>
      <c r="X1153" s="132"/>
      <c r="Y1153" s="133"/>
      <c r="Z1153" s="132"/>
      <c r="AA1153" s="132"/>
      <c r="AB1153" s="133"/>
      <c r="AC1153" s="132"/>
      <c r="AD1153" s="132"/>
      <c r="AE1153" s="133"/>
      <c r="AF1153" s="132"/>
      <c r="AG1153" s="67"/>
    </row>
    <row r="1154" spans="1:33">
      <c r="A1154" s="9"/>
      <c r="B1154" s="215"/>
      <c r="C1154" s="215"/>
      <c r="D1154" s="215"/>
      <c r="E1154" s="215"/>
      <c r="F1154" s="215"/>
      <c r="G1154" s="215"/>
      <c r="H1154" s="215"/>
      <c r="I1154" s="215"/>
      <c r="J1154" s="215"/>
      <c r="K1154" s="215"/>
      <c r="L1154" s="111"/>
      <c r="M1154" s="111"/>
      <c r="N1154" s="111"/>
      <c r="O1154" s="111"/>
      <c r="P1154" s="111"/>
      <c r="Q1154" s="111"/>
      <c r="R1154" s="111"/>
      <c r="S1154" s="712"/>
      <c r="T1154" s="111"/>
      <c r="U1154" s="111"/>
      <c r="V1154" s="67"/>
      <c r="W1154" s="111"/>
      <c r="X1154" s="132"/>
      <c r="Y1154" s="133"/>
      <c r="Z1154" s="132"/>
      <c r="AA1154" s="132"/>
      <c r="AB1154" s="133"/>
      <c r="AC1154" s="132"/>
      <c r="AD1154" s="132"/>
      <c r="AE1154" s="133"/>
      <c r="AF1154" s="132"/>
      <c r="AG1154" s="67"/>
    </row>
    <row r="1155" spans="1:33">
      <c r="A1155" s="725">
        <v>66</v>
      </c>
      <c r="B1155" s="726" t="e" vm="1">
        <f>'[2]AUN Budget'!E304</f>
        <v>#VALUE!</v>
      </c>
      <c r="C1155" s="731"/>
      <c r="D1155" s="900">
        <v>2021</v>
      </c>
      <c r="E1155" s="898"/>
      <c r="F1155" s="898"/>
      <c r="G1155" s="898"/>
      <c r="H1155" s="898"/>
      <c r="I1155" s="900">
        <v>2022</v>
      </c>
      <c r="J1155" s="898"/>
      <c r="K1155" s="898"/>
      <c r="L1155" s="898"/>
      <c r="M1155" s="898"/>
      <c r="N1155" s="900">
        <v>2023</v>
      </c>
      <c r="O1155" s="898"/>
      <c r="P1155" s="898"/>
      <c r="Q1155" s="898"/>
      <c r="R1155" s="898"/>
      <c r="S1155" s="712"/>
      <c r="T1155" s="111"/>
      <c r="U1155" s="111"/>
      <c r="V1155" s="67"/>
      <c r="W1155" s="111"/>
      <c r="X1155" s="111"/>
      <c r="Y1155" s="111"/>
      <c r="Z1155" s="111"/>
      <c r="AA1155" s="111"/>
      <c r="AB1155" s="111"/>
      <c r="AC1155" s="111"/>
      <c r="AD1155" s="111"/>
      <c r="AE1155" s="111"/>
      <c r="AF1155" s="111"/>
      <c r="AG1155" s="67"/>
    </row>
    <row r="1156" spans="1:33">
      <c r="A1156" s="134" t="s">
        <v>153</v>
      </c>
      <c r="B1156" s="113" t="s">
        <v>755</v>
      </c>
      <c r="C1156" s="113" t="s">
        <v>756</v>
      </c>
      <c r="D1156" s="113" t="s">
        <v>757</v>
      </c>
      <c r="E1156" s="113" t="s">
        <v>931</v>
      </c>
      <c r="F1156" s="113" t="s">
        <v>759</v>
      </c>
      <c r="G1156" s="113" t="s">
        <v>932</v>
      </c>
      <c r="H1156" s="113" t="s">
        <v>933</v>
      </c>
      <c r="I1156" s="113" t="s">
        <v>757</v>
      </c>
      <c r="J1156" s="113" t="s">
        <v>931</v>
      </c>
      <c r="K1156" s="113" t="s">
        <v>759</v>
      </c>
      <c r="L1156" s="113" t="s">
        <v>932</v>
      </c>
      <c r="M1156" s="113" t="s">
        <v>933</v>
      </c>
      <c r="N1156" s="113" t="s">
        <v>757</v>
      </c>
      <c r="O1156" s="113" t="s">
        <v>931</v>
      </c>
      <c r="P1156" s="113" t="s">
        <v>759</v>
      </c>
      <c r="Q1156" s="113" t="s">
        <v>932</v>
      </c>
      <c r="R1156" s="113" t="s">
        <v>933</v>
      </c>
      <c r="S1156" s="712"/>
      <c r="T1156" s="115" t="s">
        <v>387</v>
      </c>
      <c r="U1156" s="115" t="s">
        <v>388</v>
      </c>
      <c r="V1156" s="115" t="s">
        <v>934</v>
      </c>
      <c r="W1156" s="296" t="s">
        <v>935</v>
      </c>
      <c r="X1156" s="297" t="s">
        <v>936</v>
      </c>
      <c r="Y1156" s="298" t="s">
        <v>937</v>
      </c>
      <c r="Z1156" s="297" t="s">
        <v>938</v>
      </c>
      <c r="AA1156" s="297" t="s">
        <v>939</v>
      </c>
      <c r="AB1156" s="298" t="s">
        <v>940</v>
      </c>
      <c r="AC1156" s="297" t="s">
        <v>941</v>
      </c>
      <c r="AD1156" s="297" t="s">
        <v>942</v>
      </c>
      <c r="AE1156" s="298" t="s">
        <v>943</v>
      </c>
      <c r="AF1156" s="297" t="s">
        <v>944</v>
      </c>
      <c r="AG1156" s="67"/>
    </row>
    <row r="1157" spans="1:33">
      <c r="A1157" s="134"/>
      <c r="B1157" s="153">
        <v>1</v>
      </c>
      <c r="C1157" s="121" t="s">
        <v>1625</v>
      </c>
      <c r="D1157" s="164">
        <f>'Assumptions TRC_AUN'!$J$71</f>
        <v>52696.125</v>
      </c>
      <c r="E1157" s="165"/>
      <c r="F1157" s="166">
        <v>10</v>
      </c>
      <c r="G1157" s="153"/>
      <c r="H1157" s="167">
        <f t="shared" ref="H1157:H1158" si="1033">D1157*F1157</f>
        <v>526961.25</v>
      </c>
      <c r="I1157" s="164">
        <v>52000</v>
      </c>
      <c r="J1157" s="165"/>
      <c r="K1157" s="166">
        <v>44</v>
      </c>
      <c r="L1157" s="153"/>
      <c r="M1157" s="167">
        <f t="shared" ref="M1157:M1158" si="1034">I1157*K1157</f>
        <v>2288000</v>
      </c>
      <c r="N1157" s="164">
        <v>52000</v>
      </c>
      <c r="O1157" s="165"/>
      <c r="P1157" s="166">
        <v>22</v>
      </c>
      <c r="Q1157" s="153"/>
      <c r="R1157" s="167">
        <f t="shared" ref="R1157:R1158" si="1035">N1157*P1157</f>
        <v>1144000</v>
      </c>
      <c r="S1157" s="712"/>
      <c r="T1157" s="169" t="s">
        <v>946</v>
      </c>
      <c r="U1157" s="169" t="s">
        <v>946</v>
      </c>
      <c r="V1157" s="121" t="s">
        <v>950</v>
      </c>
      <c r="W1157" s="121" t="s">
        <v>951</v>
      </c>
      <c r="X1157" s="170">
        <f>'Assumptions TRC_AUN'!$J$72</f>
        <v>878.26874999999995</v>
      </c>
      <c r="Y1157" s="200">
        <f t="shared" ref="Y1157:Y1160" si="1036">Z1157/X1157</f>
        <v>2605.1251396568537</v>
      </c>
      <c r="Z1157" s="167">
        <f t="shared" ref="Z1157:Z1159" si="1037">M1157</f>
        <v>2288000</v>
      </c>
      <c r="AA1157" s="170">
        <f t="shared" ref="AA1157:AA1159" si="1038">X1157</f>
        <v>878.26874999999995</v>
      </c>
      <c r="AB1157" s="200">
        <f t="shared" ref="AB1157:AB1160" si="1039">AC1157/AA1157</f>
        <v>2605.1251396568537</v>
      </c>
      <c r="AC1157" s="167">
        <f>'Assumptions Other_AUN'!M1157</f>
        <v>2288000</v>
      </c>
      <c r="AD1157" s="170">
        <f t="shared" ref="AD1157:AD1159" si="1040">AA1157</f>
        <v>878.26874999999995</v>
      </c>
      <c r="AE1157" s="200">
        <f t="shared" ref="AE1157:AE1160" si="1041">AF1157/AD1157</f>
        <v>1302.5625698284268</v>
      </c>
      <c r="AF1157" s="167">
        <f t="shared" ref="AF1157:AF1160" si="1042">R1157</f>
        <v>1144000</v>
      </c>
      <c r="AG1157" s="67"/>
    </row>
    <row r="1158" spans="1:33">
      <c r="A1158" s="134"/>
      <c r="B1158" s="153">
        <v>2</v>
      </c>
      <c r="C1158" s="121" t="s">
        <v>1626</v>
      </c>
      <c r="D1158" s="164">
        <f>'Assumptions TRC_AUN'!$E$33</f>
        <v>3334</v>
      </c>
      <c r="E1158" s="165"/>
      <c r="F1158" s="166">
        <v>410</v>
      </c>
      <c r="G1158" s="153"/>
      <c r="H1158" s="167">
        <f t="shared" si="1033"/>
        <v>1366940</v>
      </c>
      <c r="I1158" s="164">
        <v>4547</v>
      </c>
      <c r="J1158" s="165"/>
      <c r="K1158" s="166">
        <v>410</v>
      </c>
      <c r="L1158" s="153"/>
      <c r="M1158" s="167">
        <f t="shared" si="1034"/>
        <v>1864270</v>
      </c>
      <c r="N1158" s="164">
        <v>4547</v>
      </c>
      <c r="O1158" s="165"/>
      <c r="P1158" s="166">
        <v>410</v>
      </c>
      <c r="Q1158" s="153"/>
      <c r="R1158" s="167">
        <f t="shared" si="1035"/>
        <v>1864270</v>
      </c>
      <c r="S1158" s="712"/>
      <c r="T1158" s="169" t="s">
        <v>946</v>
      </c>
      <c r="U1158" s="169" t="s">
        <v>946</v>
      </c>
      <c r="V1158" s="121" t="s">
        <v>848</v>
      </c>
      <c r="W1158" s="164" t="s">
        <v>947</v>
      </c>
      <c r="X1158" s="170">
        <f>'Assumptions TRC_AUN'!$E$33</f>
        <v>3334</v>
      </c>
      <c r="Y1158" s="200">
        <f t="shared" si="1036"/>
        <v>559.16916616676667</v>
      </c>
      <c r="Z1158" s="167">
        <f t="shared" si="1037"/>
        <v>1864270</v>
      </c>
      <c r="AA1158" s="170">
        <f t="shared" si="1038"/>
        <v>3334</v>
      </c>
      <c r="AB1158" s="200">
        <f t="shared" si="1039"/>
        <v>559.16916616676667</v>
      </c>
      <c r="AC1158" s="167">
        <f>'Assumptions Other_AUN'!M1158</f>
        <v>1864270</v>
      </c>
      <c r="AD1158" s="170">
        <f t="shared" si="1040"/>
        <v>3334</v>
      </c>
      <c r="AE1158" s="200">
        <f t="shared" si="1041"/>
        <v>559.16916616676667</v>
      </c>
      <c r="AF1158" s="167">
        <f t="shared" si="1042"/>
        <v>1864270</v>
      </c>
      <c r="AG1158" s="67"/>
    </row>
    <row r="1159" spans="1:33">
      <c r="A1159" s="134"/>
      <c r="B1159" s="153">
        <v>3</v>
      </c>
      <c r="C1159" s="121" t="s">
        <v>959</v>
      </c>
      <c r="D1159" s="164"/>
      <c r="E1159" s="165"/>
      <c r="F1159" s="166"/>
      <c r="G1159" s="153"/>
      <c r="H1159" s="167">
        <f>SUM(H1157:H1158)*10%</f>
        <v>189390.125</v>
      </c>
      <c r="I1159" s="164">
        <f t="shared" ref="I1159:I1160" si="1043">D1159</f>
        <v>0</v>
      </c>
      <c r="J1159" s="165"/>
      <c r="K1159" s="166"/>
      <c r="L1159" s="153"/>
      <c r="M1159" s="167">
        <f>SUM(M1157:M1158)*10%</f>
        <v>415227</v>
      </c>
      <c r="N1159" s="164">
        <f t="shared" ref="N1159:N1160" si="1044">I1159</f>
        <v>0</v>
      </c>
      <c r="O1159" s="165"/>
      <c r="P1159" s="166"/>
      <c r="Q1159" s="153"/>
      <c r="R1159" s="167">
        <f>SUM(R1157:R1158)*10%</f>
        <v>300827</v>
      </c>
      <c r="S1159" s="712"/>
      <c r="T1159" s="169" t="s">
        <v>946</v>
      </c>
      <c r="U1159" s="169" t="s">
        <v>946</v>
      </c>
      <c r="V1159" s="121" t="s">
        <v>875</v>
      </c>
      <c r="W1159" s="121" t="s">
        <v>961</v>
      </c>
      <c r="X1159" s="170">
        <f>'Assumptions HR_AUN'!$D$4*3</f>
        <v>88211.039066799218</v>
      </c>
      <c r="Y1159" s="200">
        <f t="shared" si="1036"/>
        <v>4.7071999649109983</v>
      </c>
      <c r="Z1159" s="167">
        <f t="shared" si="1037"/>
        <v>415227</v>
      </c>
      <c r="AA1159" s="170">
        <f t="shared" si="1038"/>
        <v>88211.039066799218</v>
      </c>
      <c r="AB1159" s="200">
        <f t="shared" si="1039"/>
        <v>4.7071999649109983</v>
      </c>
      <c r="AC1159" s="167">
        <f>'Assumptions Other_AUN'!M1159</f>
        <v>415227</v>
      </c>
      <c r="AD1159" s="170">
        <f t="shared" si="1040"/>
        <v>88211.039066799218</v>
      </c>
      <c r="AE1159" s="200">
        <f t="shared" si="1041"/>
        <v>3.4103101287832462</v>
      </c>
      <c r="AF1159" s="167">
        <f t="shared" si="1042"/>
        <v>300827</v>
      </c>
      <c r="AG1159" s="67"/>
    </row>
    <row r="1160" spans="1:33">
      <c r="A1160" s="134"/>
      <c r="B1160" s="153">
        <v>4</v>
      </c>
      <c r="C1160" s="121" t="s">
        <v>962</v>
      </c>
      <c r="D1160" s="164"/>
      <c r="E1160" s="185"/>
      <c r="F1160" s="299"/>
      <c r="G1160" s="300"/>
      <c r="H1160" s="167">
        <f>SUM(H1157:H1158)*15%</f>
        <v>284085.1875</v>
      </c>
      <c r="I1160" s="164">
        <f t="shared" si="1043"/>
        <v>0</v>
      </c>
      <c r="J1160" s="185"/>
      <c r="K1160" s="299"/>
      <c r="L1160" s="300"/>
      <c r="M1160" s="167">
        <f>SUM(M1157:M1158)*15%</f>
        <v>622840.5</v>
      </c>
      <c r="N1160" s="164">
        <f t="shared" si="1044"/>
        <v>0</v>
      </c>
      <c r="O1160" s="185"/>
      <c r="P1160" s="299"/>
      <c r="Q1160" s="300"/>
      <c r="R1160" s="167">
        <f>SUM(R1157:R1158)*15%</f>
        <v>451240.5</v>
      </c>
      <c r="S1160" s="712"/>
      <c r="T1160" s="169" t="s">
        <v>946</v>
      </c>
      <c r="U1160" s="169" t="s">
        <v>946</v>
      </c>
      <c r="V1160" s="121" t="s">
        <v>881</v>
      </c>
      <c r="W1160" s="121" t="s">
        <v>964</v>
      </c>
      <c r="X1160" s="170">
        <f>H1160/4</f>
        <v>71021.296875</v>
      </c>
      <c r="Y1160" s="200">
        <f t="shared" si="1036"/>
        <v>4</v>
      </c>
      <c r="Z1160" s="167">
        <f>H1160</f>
        <v>284085.1875</v>
      </c>
      <c r="AA1160" s="170">
        <f>M1160/4</f>
        <v>155710.125</v>
      </c>
      <c r="AB1160" s="200">
        <f t="shared" si="1039"/>
        <v>4</v>
      </c>
      <c r="AC1160" s="167">
        <f>M1160</f>
        <v>622840.5</v>
      </c>
      <c r="AD1160" s="170">
        <f>R1160/4</f>
        <v>112810.125</v>
      </c>
      <c r="AE1160" s="200">
        <f t="shared" si="1041"/>
        <v>4</v>
      </c>
      <c r="AF1160" s="167">
        <f t="shared" si="1042"/>
        <v>451240.5</v>
      </c>
      <c r="AG1160" s="67"/>
    </row>
    <row r="1161" spans="1:33">
      <c r="A1161" s="134"/>
      <c r="B1161" s="177"/>
      <c r="C1161" s="113"/>
      <c r="D1161" s="113"/>
      <c r="E1161" s="113"/>
      <c r="F1161" s="113"/>
      <c r="G1161" s="113"/>
      <c r="H1161" s="178">
        <f>SUM(H1157:H1160)</f>
        <v>2367376.5625</v>
      </c>
      <c r="I1161" s="178"/>
      <c r="J1161" s="113"/>
      <c r="K1161" s="113"/>
      <c r="L1161" s="113"/>
      <c r="M1161" s="178">
        <f>SUM(M1157:M1160)</f>
        <v>5190337.5</v>
      </c>
      <c r="N1161" s="178"/>
      <c r="O1161" s="113"/>
      <c r="P1161" s="113"/>
      <c r="Q1161" s="113"/>
      <c r="R1161" s="178">
        <f>SUM(R1157:R1160)</f>
        <v>3760337.5</v>
      </c>
      <c r="S1161" s="712"/>
      <c r="T1161" s="111"/>
      <c r="U1161" s="111"/>
      <c r="V1161" s="67"/>
      <c r="W1161" s="111"/>
      <c r="X1161" s="111"/>
      <c r="Y1161" s="111"/>
      <c r="Z1161" s="111"/>
      <c r="AA1161" s="111"/>
      <c r="AB1161" s="111"/>
      <c r="AC1161" s="111"/>
      <c r="AD1161" s="111"/>
      <c r="AE1161" s="111"/>
      <c r="AF1161" s="111"/>
      <c r="AG1161" s="67"/>
    </row>
    <row r="1162" spans="1:33">
      <c r="A1162" s="9"/>
      <c r="B1162" s="215"/>
      <c r="C1162" s="215"/>
      <c r="D1162" s="215"/>
      <c r="E1162" s="215"/>
      <c r="F1162" s="215"/>
      <c r="G1162" s="215"/>
      <c r="H1162" s="215"/>
      <c r="I1162" s="215"/>
      <c r="J1162" s="215"/>
      <c r="K1162" s="215"/>
      <c r="L1162" s="111"/>
      <c r="M1162" s="111"/>
      <c r="N1162" s="111"/>
      <c r="O1162" s="111"/>
      <c r="P1162" s="111"/>
      <c r="Q1162" s="111"/>
      <c r="R1162" s="111"/>
      <c r="S1162" s="712"/>
      <c r="T1162" s="111"/>
      <c r="U1162" s="111"/>
      <c r="V1162" s="67"/>
      <c r="W1162" s="111"/>
      <c r="X1162" s="132"/>
      <c r="Y1162" s="133"/>
      <c r="Z1162" s="132"/>
      <c r="AA1162" s="132"/>
      <c r="AB1162" s="133"/>
      <c r="AC1162" s="132"/>
      <c r="AD1162" s="132"/>
      <c r="AE1162" s="133"/>
      <c r="AF1162" s="132"/>
      <c r="AG1162" s="67"/>
    </row>
    <row r="1163" spans="1:33">
      <c r="A1163" s="9"/>
      <c r="B1163" s="215"/>
      <c r="C1163" s="215"/>
      <c r="D1163" s="215"/>
      <c r="E1163" s="215"/>
      <c r="F1163" s="215"/>
      <c r="G1163" s="215"/>
      <c r="H1163" s="215"/>
      <c r="I1163" s="215"/>
      <c r="J1163" s="215"/>
      <c r="K1163" s="215"/>
      <c r="L1163" s="111"/>
      <c r="M1163" s="215"/>
      <c r="N1163" s="111"/>
      <c r="O1163" s="111"/>
      <c r="P1163" s="111"/>
      <c r="Q1163" s="111"/>
      <c r="R1163" s="215"/>
      <c r="S1163" s="712"/>
      <c r="T1163" s="111"/>
      <c r="U1163" s="111"/>
      <c r="V1163" s="67"/>
      <c r="W1163" s="111"/>
      <c r="X1163" s="132"/>
      <c r="Y1163" s="133"/>
      <c r="Z1163" s="132"/>
      <c r="AA1163" s="132"/>
      <c r="AB1163" s="133"/>
      <c r="AC1163" s="132"/>
      <c r="AD1163" s="132"/>
      <c r="AE1163" s="133"/>
      <c r="AF1163" s="132"/>
      <c r="AG1163" s="67"/>
    </row>
    <row r="1164" spans="1:33">
      <c r="A1164" s="725">
        <v>67</v>
      </c>
      <c r="B1164" s="726" t="e" vm="1">
        <f>'[2]AUN Budget'!$E$278</f>
        <v>#VALUE!</v>
      </c>
      <c r="C1164" s="731"/>
      <c r="D1164" s="731"/>
      <c r="E1164" s="731"/>
      <c r="F1164" s="731"/>
      <c r="G1164" s="731"/>
      <c r="H1164" s="731"/>
      <c r="I1164" s="731"/>
      <c r="J1164" s="731"/>
      <c r="K1164" s="731"/>
      <c r="L1164" s="111"/>
      <c r="M1164" s="111"/>
      <c r="N1164" s="111"/>
      <c r="O1164" s="111"/>
      <c r="P1164" s="111"/>
      <c r="Q1164" s="111"/>
      <c r="R1164" s="111"/>
      <c r="S1164" s="712"/>
      <c r="T1164" s="111"/>
      <c r="U1164" s="111"/>
      <c r="V1164" s="67"/>
      <c r="W1164" s="111"/>
      <c r="X1164" s="132"/>
      <c r="Y1164" s="111"/>
      <c r="Z1164" s="111"/>
      <c r="AA1164" s="111"/>
      <c r="AB1164" s="111"/>
      <c r="AC1164" s="111"/>
      <c r="AD1164" s="111"/>
      <c r="AE1164" s="111"/>
      <c r="AF1164" s="111"/>
      <c r="AG1164" s="67"/>
    </row>
    <row r="1165" spans="1:33">
      <c r="A1165" s="134" t="s">
        <v>1627</v>
      </c>
      <c r="B1165" s="143" t="s">
        <v>755</v>
      </c>
      <c r="C1165" s="113" t="s">
        <v>1304</v>
      </c>
      <c r="D1165" s="113" t="s">
        <v>1305</v>
      </c>
      <c r="E1165" s="113" t="s">
        <v>1388</v>
      </c>
      <c r="F1165" s="113" t="s">
        <v>1307</v>
      </c>
      <c r="G1165" s="113" t="s">
        <v>1308</v>
      </c>
      <c r="H1165" s="113" t="s">
        <v>1309</v>
      </c>
      <c r="I1165" s="113" t="s">
        <v>972</v>
      </c>
      <c r="J1165" s="113" t="s">
        <v>973</v>
      </c>
      <c r="K1165" s="113" t="s">
        <v>974</v>
      </c>
      <c r="L1165" s="111"/>
      <c r="M1165" s="111"/>
      <c r="N1165" s="111"/>
      <c r="O1165" s="111"/>
      <c r="P1165" s="111"/>
      <c r="Q1165" s="111"/>
      <c r="R1165" s="111"/>
      <c r="S1165" s="712"/>
      <c r="T1165" s="115" t="s">
        <v>387</v>
      </c>
      <c r="U1165" s="115" t="s">
        <v>388</v>
      </c>
      <c r="V1165" s="115" t="s">
        <v>934</v>
      </c>
      <c r="W1165" s="296" t="s">
        <v>935</v>
      </c>
      <c r="X1165" s="297" t="s">
        <v>936</v>
      </c>
      <c r="Y1165" s="298" t="s">
        <v>937</v>
      </c>
      <c r="Z1165" s="297" t="s">
        <v>938</v>
      </c>
      <c r="AA1165" s="297" t="s">
        <v>939</v>
      </c>
      <c r="AB1165" s="298" t="s">
        <v>940</v>
      </c>
      <c r="AC1165" s="297" t="s">
        <v>941</v>
      </c>
      <c r="AD1165" s="297" t="s">
        <v>942</v>
      </c>
      <c r="AE1165" s="298" t="s">
        <v>943</v>
      </c>
      <c r="AF1165" s="297" t="s">
        <v>944</v>
      </c>
      <c r="AG1165" s="67"/>
    </row>
    <row r="1166" spans="1:33">
      <c r="A1166" s="134"/>
      <c r="B1166" s="153">
        <v>1</v>
      </c>
      <c r="C1166" s="245"/>
      <c r="D1166" s="245" t="s">
        <v>1628</v>
      </c>
      <c r="E1166" s="264">
        <f>'Assumptions TRC_AUN'!$J$54</f>
        <v>81914.5</v>
      </c>
      <c r="F1166" s="164">
        <v>5</v>
      </c>
      <c r="G1166" s="164">
        <v>5</v>
      </c>
      <c r="H1166" s="164">
        <v>0</v>
      </c>
      <c r="I1166" s="164">
        <f t="shared" ref="I1166:K1166" si="1045">$E1166*F1166</f>
        <v>409572.5</v>
      </c>
      <c r="J1166" s="164">
        <f t="shared" si="1045"/>
        <v>409572.5</v>
      </c>
      <c r="K1166" s="164">
        <f t="shared" si="1045"/>
        <v>0</v>
      </c>
      <c r="L1166" s="111"/>
      <c r="M1166" s="111"/>
      <c r="N1166" s="111"/>
      <c r="O1166" s="111"/>
      <c r="P1166" s="111"/>
      <c r="Q1166" s="111"/>
      <c r="R1166" s="111"/>
      <c r="S1166" s="712"/>
      <c r="T1166" s="169" t="s">
        <v>946</v>
      </c>
      <c r="U1166" s="169" t="s">
        <v>946</v>
      </c>
      <c r="V1166" s="121" t="s">
        <v>813</v>
      </c>
      <c r="W1166" s="121" t="s">
        <v>1094</v>
      </c>
      <c r="X1166" s="170">
        <f>'Assumptions TRC_AUN'!$J$55</f>
        <v>1050.1858974358975</v>
      </c>
      <c r="Y1166" s="200">
        <f t="shared" ref="Y1166:Y1171" si="1046">Z1166/X1166</f>
        <v>390</v>
      </c>
      <c r="Z1166" s="167">
        <f t="shared" ref="Z1166:Z1171" si="1047">I1166</f>
        <v>409572.5</v>
      </c>
      <c r="AA1166" s="170">
        <f t="shared" ref="AA1166:AA1170" si="1048">X1166</f>
        <v>1050.1858974358975</v>
      </c>
      <c r="AB1166" s="200">
        <f t="shared" ref="AB1166:AB1171" si="1049">AC1166/AA1166</f>
        <v>390</v>
      </c>
      <c r="AC1166" s="167">
        <f t="shared" ref="AC1166:AC1171" si="1050">J1166</f>
        <v>409572.5</v>
      </c>
      <c r="AD1166" s="170">
        <f t="shared" ref="AD1166:AD1170" si="1051">AA1166</f>
        <v>1050.1858974358975</v>
      </c>
      <c r="AE1166" s="200">
        <f t="shared" ref="AE1166:AE1171" si="1052">AF1166/AD1166</f>
        <v>0</v>
      </c>
      <c r="AF1166" s="167">
        <f t="shared" ref="AF1166:AF1171" si="1053">K1166</f>
        <v>0</v>
      </c>
      <c r="AG1166" s="67"/>
    </row>
    <row r="1167" spans="1:33">
      <c r="A1167" s="134"/>
      <c r="B1167" s="153">
        <v>2</v>
      </c>
      <c r="C1167" s="245"/>
      <c r="D1167" s="245" t="s">
        <v>1629</v>
      </c>
      <c r="E1167" s="264">
        <f>'Assumptions TRC_AUN'!$E$33</f>
        <v>3334</v>
      </c>
      <c r="F1167" s="164">
        <v>150</v>
      </c>
      <c r="G1167" s="164">
        <v>50</v>
      </c>
      <c r="H1167" s="164">
        <v>100</v>
      </c>
      <c r="I1167" s="164">
        <f t="shared" ref="I1167:K1167" si="1054">$E1167*F1167</f>
        <v>500100</v>
      </c>
      <c r="J1167" s="164">
        <f t="shared" si="1054"/>
        <v>166700</v>
      </c>
      <c r="K1167" s="164">
        <f t="shared" si="1054"/>
        <v>333400</v>
      </c>
      <c r="L1167" s="111"/>
      <c r="M1167" s="111"/>
      <c r="N1167" s="111"/>
      <c r="O1167" s="111"/>
      <c r="P1167" s="111"/>
      <c r="Q1167" s="111"/>
      <c r="R1167" s="111"/>
      <c r="S1167" s="712"/>
      <c r="T1167" s="169" t="s">
        <v>946</v>
      </c>
      <c r="U1167" s="169" t="s">
        <v>946</v>
      </c>
      <c r="V1167" s="121" t="s">
        <v>848</v>
      </c>
      <c r="W1167" s="164" t="s">
        <v>947</v>
      </c>
      <c r="X1167" s="170">
        <f>'Assumptions TRC_AUN'!$E$33</f>
        <v>3334</v>
      </c>
      <c r="Y1167" s="200">
        <f t="shared" si="1046"/>
        <v>150</v>
      </c>
      <c r="Z1167" s="167">
        <f t="shared" si="1047"/>
        <v>500100</v>
      </c>
      <c r="AA1167" s="170">
        <f t="shared" si="1048"/>
        <v>3334</v>
      </c>
      <c r="AB1167" s="200">
        <f t="shared" si="1049"/>
        <v>50</v>
      </c>
      <c r="AC1167" s="167">
        <f t="shared" si="1050"/>
        <v>166700</v>
      </c>
      <c r="AD1167" s="170">
        <f t="shared" si="1051"/>
        <v>3334</v>
      </c>
      <c r="AE1167" s="200">
        <f t="shared" si="1052"/>
        <v>100</v>
      </c>
      <c r="AF1167" s="167">
        <f t="shared" si="1053"/>
        <v>333400</v>
      </c>
      <c r="AG1167" s="67"/>
    </row>
    <row r="1168" spans="1:33">
      <c r="A1168" s="134"/>
      <c r="B1168" s="153">
        <v>3</v>
      </c>
      <c r="C1168" s="245"/>
      <c r="D1168" s="245" t="s">
        <v>1630</v>
      </c>
      <c r="E1168" s="264">
        <f>'Assumptions TRC_AUN'!$E$33</f>
        <v>3334</v>
      </c>
      <c r="F1168" s="164">
        <v>100</v>
      </c>
      <c r="G1168" s="164">
        <v>200</v>
      </c>
      <c r="H1168" s="164">
        <v>100</v>
      </c>
      <c r="I1168" s="164">
        <f t="shared" ref="I1168:K1168" si="1055">$E1168*F1168</f>
        <v>333400</v>
      </c>
      <c r="J1168" s="164">
        <f t="shared" si="1055"/>
        <v>666800</v>
      </c>
      <c r="K1168" s="164">
        <f t="shared" si="1055"/>
        <v>333400</v>
      </c>
      <c r="L1168" s="111"/>
      <c r="M1168" s="111"/>
      <c r="N1168" s="111"/>
      <c r="O1168" s="111"/>
      <c r="P1168" s="111"/>
      <c r="Q1168" s="111"/>
      <c r="R1168" s="111"/>
      <c r="S1168" s="712"/>
      <c r="T1168" s="169" t="s">
        <v>946</v>
      </c>
      <c r="U1168" s="169" t="s">
        <v>946</v>
      </c>
      <c r="V1168" s="121" t="s">
        <v>848</v>
      </c>
      <c r="W1168" s="164" t="s">
        <v>947</v>
      </c>
      <c r="X1168" s="170">
        <f>'Assumptions TRC_AUN'!$E$33</f>
        <v>3334</v>
      </c>
      <c r="Y1168" s="200">
        <f t="shared" si="1046"/>
        <v>100</v>
      </c>
      <c r="Z1168" s="167">
        <f t="shared" si="1047"/>
        <v>333400</v>
      </c>
      <c r="AA1168" s="170">
        <f t="shared" si="1048"/>
        <v>3334</v>
      </c>
      <c r="AB1168" s="200">
        <f t="shared" si="1049"/>
        <v>200</v>
      </c>
      <c r="AC1168" s="167">
        <f t="shared" si="1050"/>
        <v>666800</v>
      </c>
      <c r="AD1168" s="170">
        <f t="shared" si="1051"/>
        <v>3334</v>
      </c>
      <c r="AE1168" s="200">
        <f t="shared" si="1052"/>
        <v>100</v>
      </c>
      <c r="AF1168" s="167">
        <f t="shared" si="1053"/>
        <v>333400</v>
      </c>
      <c r="AG1168" s="67"/>
    </row>
    <row r="1169" spans="1:33">
      <c r="A1169" s="134"/>
      <c r="B1169" s="153">
        <v>4</v>
      </c>
      <c r="C1169" s="245"/>
      <c r="D1169" s="245" t="s">
        <v>1631</v>
      </c>
      <c r="E1169" s="264">
        <f>'Assumptions TRC_AUN'!$E$33</f>
        <v>3334</v>
      </c>
      <c r="F1169" s="164">
        <v>150</v>
      </c>
      <c r="G1169" s="164">
        <v>150</v>
      </c>
      <c r="H1169" s="164">
        <v>200</v>
      </c>
      <c r="I1169" s="164">
        <f t="shared" ref="I1169:K1169" si="1056">$E1169*F1169</f>
        <v>500100</v>
      </c>
      <c r="J1169" s="164">
        <f t="shared" si="1056"/>
        <v>500100</v>
      </c>
      <c r="K1169" s="164">
        <f t="shared" si="1056"/>
        <v>666800</v>
      </c>
      <c r="L1169" s="111"/>
      <c r="M1169" s="111"/>
      <c r="N1169" s="111"/>
      <c r="O1169" s="111"/>
      <c r="P1169" s="111"/>
      <c r="Q1169" s="111"/>
      <c r="R1169" s="111"/>
      <c r="S1169" s="712"/>
      <c r="T1169" s="169" t="s">
        <v>946</v>
      </c>
      <c r="U1169" s="169" t="s">
        <v>946</v>
      </c>
      <c r="V1169" s="121" t="s">
        <v>848</v>
      </c>
      <c r="W1169" s="164" t="s">
        <v>947</v>
      </c>
      <c r="X1169" s="170">
        <f>'Assumptions TRC_AUN'!$E$33</f>
        <v>3334</v>
      </c>
      <c r="Y1169" s="200">
        <f t="shared" si="1046"/>
        <v>150</v>
      </c>
      <c r="Z1169" s="167">
        <f t="shared" si="1047"/>
        <v>500100</v>
      </c>
      <c r="AA1169" s="170">
        <f t="shared" si="1048"/>
        <v>3334</v>
      </c>
      <c r="AB1169" s="200">
        <f t="shared" si="1049"/>
        <v>150</v>
      </c>
      <c r="AC1169" s="167">
        <f t="shared" si="1050"/>
        <v>500100</v>
      </c>
      <c r="AD1169" s="170">
        <f t="shared" si="1051"/>
        <v>3334</v>
      </c>
      <c r="AE1169" s="200">
        <f t="shared" si="1052"/>
        <v>200</v>
      </c>
      <c r="AF1169" s="167">
        <f t="shared" si="1053"/>
        <v>666800</v>
      </c>
      <c r="AG1169" s="67"/>
    </row>
    <row r="1170" spans="1:33">
      <c r="A1170" s="134"/>
      <c r="B1170" s="153">
        <v>5</v>
      </c>
      <c r="C1170" s="121" t="s">
        <v>1001</v>
      </c>
      <c r="D1170" s="245"/>
      <c r="E1170" s="264"/>
      <c r="F1170" s="164"/>
      <c r="G1170" s="164"/>
      <c r="H1170" s="164"/>
      <c r="I1170" s="164">
        <f t="shared" ref="I1170:K1170" si="1057">SUM(I1166:I1169)*10%</f>
        <v>174317.25</v>
      </c>
      <c r="J1170" s="164">
        <f t="shared" si="1057"/>
        <v>174317.25</v>
      </c>
      <c r="K1170" s="164">
        <f t="shared" si="1057"/>
        <v>133360</v>
      </c>
      <c r="L1170" s="111"/>
      <c r="M1170" s="111"/>
      <c r="N1170" s="111"/>
      <c r="O1170" s="111"/>
      <c r="P1170" s="111"/>
      <c r="Q1170" s="111"/>
      <c r="R1170" s="111"/>
      <c r="S1170" s="712"/>
      <c r="T1170" s="169" t="s">
        <v>946</v>
      </c>
      <c r="U1170" s="169" t="s">
        <v>946</v>
      </c>
      <c r="V1170" s="121" t="s">
        <v>875</v>
      </c>
      <c r="W1170" s="121" t="s">
        <v>961</v>
      </c>
      <c r="X1170" s="170">
        <f>'Assumptions HR_AUN'!$D$4*3</f>
        <v>88211.039066799218</v>
      </c>
      <c r="Y1170" s="200">
        <f t="shared" si="1046"/>
        <v>1.9761387219120667</v>
      </c>
      <c r="Z1170" s="167">
        <f t="shared" si="1047"/>
        <v>174317.25</v>
      </c>
      <c r="AA1170" s="170">
        <f t="shared" si="1048"/>
        <v>88211.039066799218</v>
      </c>
      <c r="AB1170" s="200">
        <f t="shared" si="1049"/>
        <v>1.9761387219120667</v>
      </c>
      <c r="AC1170" s="167">
        <f t="shared" si="1050"/>
        <v>174317.25</v>
      </c>
      <c r="AD1170" s="170">
        <f t="shared" si="1051"/>
        <v>88211.039066799218</v>
      </c>
      <c r="AE1170" s="200">
        <f t="shared" si="1052"/>
        <v>1.5118289208566176</v>
      </c>
      <c r="AF1170" s="167">
        <f t="shared" si="1053"/>
        <v>133360</v>
      </c>
      <c r="AG1170" s="67"/>
    </row>
    <row r="1171" spans="1:33">
      <c r="A1171" s="134"/>
      <c r="B1171" s="153">
        <v>6</v>
      </c>
      <c r="C1171" s="121" t="s">
        <v>962</v>
      </c>
      <c r="D1171" s="245"/>
      <c r="E1171" s="264"/>
      <c r="F1171" s="164"/>
      <c r="G1171" s="164"/>
      <c r="H1171" s="164"/>
      <c r="I1171" s="164">
        <f t="shared" ref="I1171:K1171" si="1058">SUM(I1166:I1169)*15%</f>
        <v>261475.875</v>
      </c>
      <c r="J1171" s="164">
        <f t="shared" si="1058"/>
        <v>261475.875</v>
      </c>
      <c r="K1171" s="164">
        <f t="shared" si="1058"/>
        <v>200040</v>
      </c>
      <c r="L1171" s="111"/>
      <c r="M1171" s="111"/>
      <c r="N1171" s="111"/>
      <c r="O1171" s="111"/>
      <c r="P1171" s="111"/>
      <c r="Q1171" s="111"/>
      <c r="R1171" s="111"/>
      <c r="S1171" s="712"/>
      <c r="T1171" s="169" t="s">
        <v>946</v>
      </c>
      <c r="U1171" s="169" t="s">
        <v>946</v>
      </c>
      <c r="V1171" s="121" t="s">
        <v>881</v>
      </c>
      <c r="W1171" s="121" t="s">
        <v>964</v>
      </c>
      <c r="X1171" s="170">
        <f>I1171/4</f>
        <v>65368.96875</v>
      </c>
      <c r="Y1171" s="200">
        <f t="shared" si="1046"/>
        <v>4</v>
      </c>
      <c r="Z1171" s="167">
        <f t="shared" si="1047"/>
        <v>261475.875</v>
      </c>
      <c r="AA1171" s="170">
        <f>J1171/4</f>
        <v>65368.96875</v>
      </c>
      <c r="AB1171" s="200">
        <f t="shared" si="1049"/>
        <v>4</v>
      </c>
      <c r="AC1171" s="167">
        <f t="shared" si="1050"/>
        <v>261475.875</v>
      </c>
      <c r="AD1171" s="170">
        <f>K1171/4</f>
        <v>50010</v>
      </c>
      <c r="AE1171" s="200">
        <f t="shared" si="1052"/>
        <v>4</v>
      </c>
      <c r="AF1171" s="167">
        <f t="shared" si="1053"/>
        <v>200040</v>
      </c>
      <c r="AG1171" s="67"/>
    </row>
    <row r="1172" spans="1:33">
      <c r="A1172" s="9"/>
      <c r="B1172" s="215"/>
      <c r="C1172" s="215"/>
      <c r="D1172" s="215"/>
      <c r="E1172" s="215"/>
      <c r="F1172" s="215"/>
      <c r="G1172" s="215"/>
      <c r="H1172" s="215"/>
      <c r="I1172" s="215"/>
      <c r="J1172" s="215"/>
      <c r="K1172" s="215"/>
      <c r="L1172" s="111"/>
      <c r="M1172" s="111"/>
      <c r="N1172" s="111"/>
      <c r="O1172" s="111"/>
      <c r="P1172" s="111"/>
      <c r="Q1172" s="111"/>
      <c r="R1172" s="111"/>
      <c r="S1172" s="712"/>
      <c r="T1172" s="111"/>
      <c r="U1172" s="111"/>
      <c r="V1172" s="67"/>
      <c r="W1172" s="111"/>
      <c r="X1172" s="132"/>
      <c r="Y1172" s="133"/>
      <c r="Z1172" s="132"/>
      <c r="AA1172" s="132"/>
      <c r="AB1172" s="133"/>
      <c r="AC1172" s="132"/>
      <c r="AD1172" s="132"/>
      <c r="AE1172" s="133"/>
      <c r="AF1172" s="132"/>
      <c r="AG1172" s="67"/>
    </row>
    <row r="1173" spans="1:33">
      <c r="A1173" s="9"/>
      <c r="B1173" s="215"/>
      <c r="C1173" s="215"/>
      <c r="D1173" s="215"/>
      <c r="E1173" s="215"/>
      <c r="F1173" s="215"/>
      <c r="G1173" s="215"/>
      <c r="H1173" s="215"/>
      <c r="I1173" s="215"/>
      <c r="J1173" s="215"/>
      <c r="K1173" s="215"/>
      <c r="L1173" s="111"/>
      <c r="M1173" s="111"/>
      <c r="N1173" s="111"/>
      <c r="O1173" s="111"/>
      <c r="P1173" s="111"/>
      <c r="Q1173" s="111"/>
      <c r="R1173" s="111"/>
      <c r="S1173" s="712"/>
      <c r="T1173" s="111"/>
      <c r="U1173" s="111"/>
      <c r="V1173" s="67"/>
      <c r="W1173" s="111"/>
      <c r="X1173" s="132"/>
      <c r="Y1173" s="133"/>
      <c r="Z1173" s="132"/>
      <c r="AA1173" s="132"/>
      <c r="AB1173" s="133"/>
      <c r="AC1173" s="132"/>
      <c r="AD1173" s="132"/>
      <c r="AE1173" s="133"/>
      <c r="AF1173" s="132"/>
      <c r="AG1173" s="67"/>
    </row>
    <row r="1174" spans="1:33">
      <c r="A1174" s="725">
        <v>68</v>
      </c>
      <c r="B1174" s="726" t="e" vm="1">
        <f>'[2]AUN Budget'!$E$283</f>
        <v>#VALUE!</v>
      </c>
      <c r="C1174" s="726"/>
      <c r="D1174" s="900">
        <v>2021</v>
      </c>
      <c r="E1174" s="898"/>
      <c r="F1174" s="898"/>
      <c r="G1174" s="898"/>
      <c r="H1174" s="898"/>
      <c r="I1174" s="900">
        <v>2022</v>
      </c>
      <c r="J1174" s="898"/>
      <c r="K1174" s="898"/>
      <c r="L1174" s="898"/>
      <c r="M1174" s="898"/>
      <c r="N1174" s="900">
        <v>2023</v>
      </c>
      <c r="O1174" s="898"/>
      <c r="P1174" s="898"/>
      <c r="Q1174" s="898"/>
      <c r="R1174" s="898"/>
      <c r="S1174" s="712"/>
      <c r="T1174" s="111"/>
      <c r="U1174" s="111"/>
      <c r="V1174" s="67"/>
      <c r="W1174" s="111"/>
      <c r="X1174" s="111"/>
      <c r="Y1174" s="111"/>
      <c r="Z1174" s="111"/>
      <c r="AA1174" s="111"/>
      <c r="AB1174" s="111"/>
      <c r="AC1174" s="111"/>
      <c r="AD1174" s="111"/>
      <c r="AE1174" s="111"/>
      <c r="AF1174" s="111"/>
      <c r="AG1174" s="67"/>
    </row>
    <row r="1175" spans="1:33">
      <c r="A1175" s="134" t="s">
        <v>175</v>
      </c>
      <c r="B1175" s="113" t="s">
        <v>755</v>
      </c>
      <c r="C1175" s="113" t="s">
        <v>756</v>
      </c>
      <c r="D1175" s="113" t="s">
        <v>757</v>
      </c>
      <c r="E1175" s="113" t="s">
        <v>931</v>
      </c>
      <c r="F1175" s="113" t="s">
        <v>759</v>
      </c>
      <c r="G1175" s="113" t="s">
        <v>932</v>
      </c>
      <c r="H1175" s="113" t="s">
        <v>933</v>
      </c>
      <c r="I1175" s="113" t="s">
        <v>757</v>
      </c>
      <c r="J1175" s="113" t="s">
        <v>931</v>
      </c>
      <c r="K1175" s="113" t="s">
        <v>759</v>
      </c>
      <c r="L1175" s="113" t="s">
        <v>932</v>
      </c>
      <c r="M1175" s="113" t="s">
        <v>933</v>
      </c>
      <c r="N1175" s="113" t="s">
        <v>757</v>
      </c>
      <c r="O1175" s="113" t="s">
        <v>931</v>
      </c>
      <c r="P1175" s="113" t="s">
        <v>759</v>
      </c>
      <c r="Q1175" s="113" t="s">
        <v>932</v>
      </c>
      <c r="R1175" s="113" t="s">
        <v>933</v>
      </c>
      <c r="S1175" s="712"/>
      <c r="T1175" s="115" t="s">
        <v>387</v>
      </c>
      <c r="U1175" s="115" t="s">
        <v>388</v>
      </c>
      <c r="V1175" s="115" t="s">
        <v>934</v>
      </c>
      <c r="W1175" s="296" t="s">
        <v>935</v>
      </c>
      <c r="X1175" s="297" t="s">
        <v>936</v>
      </c>
      <c r="Y1175" s="298" t="s">
        <v>937</v>
      </c>
      <c r="Z1175" s="297" t="s">
        <v>938</v>
      </c>
      <c r="AA1175" s="297" t="s">
        <v>939</v>
      </c>
      <c r="AB1175" s="298" t="s">
        <v>940</v>
      </c>
      <c r="AC1175" s="297" t="s">
        <v>941</v>
      </c>
      <c r="AD1175" s="297" t="s">
        <v>942</v>
      </c>
      <c r="AE1175" s="298" t="s">
        <v>943</v>
      </c>
      <c r="AF1175" s="297" t="s">
        <v>944</v>
      </c>
      <c r="AG1175" s="67"/>
    </row>
    <row r="1176" spans="1:33">
      <c r="A1176" s="134"/>
      <c r="B1176" s="153">
        <v>1</v>
      </c>
      <c r="C1176" s="121" t="s">
        <v>1632</v>
      </c>
      <c r="D1176" s="164">
        <f>'Assumptions TRC_AUN'!$J$71</f>
        <v>52696.125</v>
      </c>
      <c r="E1176" s="165"/>
      <c r="F1176" s="164">
        <v>24</v>
      </c>
      <c r="G1176" s="153"/>
      <c r="H1176" s="167">
        <f t="shared" ref="H1176:H1178" si="1059">D1176*F1176</f>
        <v>1264707</v>
      </c>
      <c r="I1176" s="164">
        <f>'Assumptions TRC_AUN'!$J$71</f>
        <v>52696.125</v>
      </c>
      <c r="J1176" s="165"/>
      <c r="K1176" s="164">
        <v>24</v>
      </c>
      <c r="L1176" s="153"/>
      <c r="M1176" s="167">
        <f t="shared" ref="M1176:M1178" si="1060">I1176*K1176</f>
        <v>1264707</v>
      </c>
      <c r="N1176" s="164">
        <f>'Assumptions TRC_AUN'!$J$71</f>
        <v>52696.125</v>
      </c>
      <c r="O1176" s="165"/>
      <c r="P1176" s="164">
        <v>24</v>
      </c>
      <c r="Q1176" s="153"/>
      <c r="R1176" s="167">
        <f t="shared" ref="R1176:R1178" si="1061">N1176*P1176</f>
        <v>1264707</v>
      </c>
      <c r="S1176" s="712"/>
      <c r="T1176" s="169" t="s">
        <v>946</v>
      </c>
      <c r="U1176" s="169" t="s">
        <v>946</v>
      </c>
      <c r="V1176" s="121" t="s">
        <v>950</v>
      </c>
      <c r="W1176" s="121" t="s">
        <v>951</v>
      </c>
      <c r="X1176" s="170">
        <f>'Assumptions TRC_AUN'!$J$72</f>
        <v>878.26874999999995</v>
      </c>
      <c r="Y1176" s="200">
        <f t="shared" ref="Y1176:Y1180" si="1062">Z1176/X1176</f>
        <v>1440</v>
      </c>
      <c r="Z1176" s="167">
        <f t="shared" ref="Z1176:Z1180" si="1063">H1176</f>
        <v>1264707</v>
      </c>
      <c r="AA1176" s="170">
        <f t="shared" ref="AA1176:AA1179" si="1064">X1176</f>
        <v>878.26874999999995</v>
      </c>
      <c r="AB1176" s="200">
        <f t="shared" ref="AB1176:AB1180" si="1065">AC1176/AA1176</f>
        <v>1440</v>
      </c>
      <c r="AC1176" s="167">
        <f>'Assumptions Other_AUN'!M1176</f>
        <v>1264707</v>
      </c>
      <c r="AD1176" s="170">
        <f t="shared" ref="AD1176:AD1179" si="1066">AA1176</f>
        <v>878.26874999999995</v>
      </c>
      <c r="AE1176" s="200">
        <f t="shared" ref="AE1176:AE1180" si="1067">AF1176/AD1176</f>
        <v>1440</v>
      </c>
      <c r="AF1176" s="167">
        <f t="shared" ref="AF1176:AF1180" si="1068">R1176</f>
        <v>1264707</v>
      </c>
      <c r="AG1176" s="67"/>
    </row>
    <row r="1177" spans="1:33">
      <c r="A1177" s="134"/>
      <c r="B1177" s="153">
        <v>2</v>
      </c>
      <c r="C1177" s="121" t="s">
        <v>1633</v>
      </c>
      <c r="D1177" s="164">
        <f>'Assumptions TRC_AUN'!$E$33</f>
        <v>3334</v>
      </c>
      <c r="E1177" s="165"/>
      <c r="F1177" s="164">
        <v>130</v>
      </c>
      <c r="G1177" s="153"/>
      <c r="H1177" s="167">
        <f t="shared" si="1059"/>
        <v>433420</v>
      </c>
      <c r="I1177" s="164">
        <f>'Assumptions TRC_AUN'!$E$33</f>
        <v>3334</v>
      </c>
      <c r="J1177" s="165"/>
      <c r="K1177" s="164">
        <v>130</v>
      </c>
      <c r="L1177" s="153"/>
      <c r="M1177" s="167">
        <f t="shared" si="1060"/>
        <v>433420</v>
      </c>
      <c r="N1177" s="164">
        <f>'Assumptions TRC_AUN'!$E$33</f>
        <v>3334</v>
      </c>
      <c r="O1177" s="165"/>
      <c r="P1177" s="164">
        <v>130</v>
      </c>
      <c r="Q1177" s="153"/>
      <c r="R1177" s="167">
        <f t="shared" si="1061"/>
        <v>433420</v>
      </c>
      <c r="S1177" s="712"/>
      <c r="T1177" s="169" t="s">
        <v>946</v>
      </c>
      <c r="U1177" s="169" t="s">
        <v>946</v>
      </c>
      <c r="V1177" s="121" t="s">
        <v>848</v>
      </c>
      <c r="W1177" s="164" t="s">
        <v>947</v>
      </c>
      <c r="X1177" s="170">
        <f>'Assumptions TRC_AUN'!$E$33</f>
        <v>3334</v>
      </c>
      <c r="Y1177" s="200">
        <f t="shared" si="1062"/>
        <v>130</v>
      </c>
      <c r="Z1177" s="167">
        <f t="shared" si="1063"/>
        <v>433420</v>
      </c>
      <c r="AA1177" s="170">
        <f t="shared" si="1064"/>
        <v>3334</v>
      </c>
      <c r="AB1177" s="200">
        <f t="shared" si="1065"/>
        <v>130</v>
      </c>
      <c r="AC1177" s="167">
        <f>'Assumptions Other_AUN'!M1177</f>
        <v>433420</v>
      </c>
      <c r="AD1177" s="170">
        <f t="shared" si="1066"/>
        <v>3334</v>
      </c>
      <c r="AE1177" s="200">
        <f t="shared" si="1067"/>
        <v>130</v>
      </c>
      <c r="AF1177" s="167">
        <f t="shared" si="1068"/>
        <v>433420</v>
      </c>
      <c r="AG1177" s="67"/>
    </row>
    <row r="1178" spans="1:33">
      <c r="A1178" s="134"/>
      <c r="B1178" s="153">
        <v>3</v>
      </c>
      <c r="C1178" s="121" t="s">
        <v>1634</v>
      </c>
      <c r="D1178" s="164">
        <v>150000</v>
      </c>
      <c r="E1178" s="165"/>
      <c r="F1178" s="164">
        <v>1</v>
      </c>
      <c r="G1178" s="153"/>
      <c r="H1178" s="167">
        <f t="shared" si="1059"/>
        <v>150000</v>
      </c>
      <c r="I1178" s="164">
        <v>150000</v>
      </c>
      <c r="J1178" s="165"/>
      <c r="K1178" s="164">
        <v>1</v>
      </c>
      <c r="L1178" s="153"/>
      <c r="M1178" s="167">
        <f t="shared" si="1060"/>
        <v>150000</v>
      </c>
      <c r="N1178" s="164">
        <v>150000</v>
      </c>
      <c r="O1178" s="165"/>
      <c r="P1178" s="164">
        <v>1</v>
      </c>
      <c r="Q1178" s="153"/>
      <c r="R1178" s="167">
        <f t="shared" si="1061"/>
        <v>150000</v>
      </c>
      <c r="S1178" s="712"/>
      <c r="T1178" s="169" t="s">
        <v>946</v>
      </c>
      <c r="U1178" s="169" t="s">
        <v>946</v>
      </c>
      <c r="V1178" s="121" t="s">
        <v>1000</v>
      </c>
      <c r="W1178" s="121" t="s">
        <v>789</v>
      </c>
      <c r="X1178" s="170">
        <f>D1178</f>
        <v>150000</v>
      </c>
      <c r="Y1178" s="200">
        <f t="shared" si="1062"/>
        <v>1</v>
      </c>
      <c r="Z1178" s="167">
        <f t="shared" si="1063"/>
        <v>150000</v>
      </c>
      <c r="AA1178" s="170">
        <f t="shared" si="1064"/>
        <v>150000</v>
      </c>
      <c r="AB1178" s="200">
        <f t="shared" si="1065"/>
        <v>1</v>
      </c>
      <c r="AC1178" s="167">
        <f>'Assumptions Other_AUN'!M1178</f>
        <v>150000</v>
      </c>
      <c r="AD1178" s="170">
        <f t="shared" si="1066"/>
        <v>150000</v>
      </c>
      <c r="AE1178" s="200">
        <f t="shared" si="1067"/>
        <v>1</v>
      </c>
      <c r="AF1178" s="167">
        <f t="shared" si="1068"/>
        <v>150000</v>
      </c>
      <c r="AG1178" s="67"/>
    </row>
    <row r="1179" spans="1:33">
      <c r="A1179" s="134"/>
      <c r="B1179" s="153">
        <v>4</v>
      </c>
      <c r="C1179" s="121" t="s">
        <v>959</v>
      </c>
      <c r="D1179" s="164"/>
      <c r="E1179" s="165"/>
      <c r="F1179" s="164"/>
      <c r="G1179" s="153"/>
      <c r="H1179" s="167">
        <f>SUM(H1176:H1178)*10%</f>
        <v>184812.7</v>
      </c>
      <c r="I1179" s="164">
        <f t="shared" ref="I1179:I1180" si="1069">D1179</f>
        <v>0</v>
      </c>
      <c r="J1179" s="165"/>
      <c r="K1179" s="164"/>
      <c r="L1179" s="153"/>
      <c r="M1179" s="167">
        <f>SUM(M1176:M1178)*10%</f>
        <v>184812.7</v>
      </c>
      <c r="N1179" s="164">
        <f t="shared" ref="N1179:N1180" si="1070">I1179</f>
        <v>0</v>
      </c>
      <c r="O1179" s="165"/>
      <c r="P1179" s="164"/>
      <c r="Q1179" s="153"/>
      <c r="R1179" s="167">
        <f>SUM(R1176:R1178)*10%</f>
        <v>184812.7</v>
      </c>
      <c r="S1179" s="712"/>
      <c r="T1179" s="169" t="s">
        <v>946</v>
      </c>
      <c r="U1179" s="169" t="s">
        <v>946</v>
      </c>
      <c r="V1179" s="121" t="s">
        <v>875</v>
      </c>
      <c r="W1179" s="121" t="s">
        <v>961</v>
      </c>
      <c r="X1179" s="170">
        <f>'Assumptions HR_AUN'!$D$4*3</f>
        <v>88211.039066799218</v>
      </c>
      <c r="Y1179" s="200">
        <f t="shared" si="1062"/>
        <v>2.0951198620395757</v>
      </c>
      <c r="Z1179" s="167">
        <f t="shared" si="1063"/>
        <v>184812.7</v>
      </c>
      <c r="AA1179" s="170">
        <f t="shared" si="1064"/>
        <v>88211.039066799218</v>
      </c>
      <c r="AB1179" s="200">
        <f t="shared" si="1065"/>
        <v>2.0951198620395757</v>
      </c>
      <c r="AC1179" s="167">
        <f>'Assumptions Other_AUN'!M1179</f>
        <v>184812.7</v>
      </c>
      <c r="AD1179" s="170">
        <f t="shared" si="1066"/>
        <v>88211.039066799218</v>
      </c>
      <c r="AE1179" s="200">
        <f t="shared" si="1067"/>
        <v>2.0951198620395757</v>
      </c>
      <c r="AF1179" s="167">
        <f t="shared" si="1068"/>
        <v>184812.7</v>
      </c>
      <c r="AG1179" s="67"/>
    </row>
    <row r="1180" spans="1:33">
      <c r="A1180" s="134"/>
      <c r="B1180" s="153">
        <v>5</v>
      </c>
      <c r="C1180" s="121" t="s">
        <v>962</v>
      </c>
      <c r="D1180" s="164"/>
      <c r="E1180" s="185"/>
      <c r="F1180" s="164"/>
      <c r="G1180" s="300"/>
      <c r="H1180" s="167">
        <f>SUM(H1176:H1178)*15%</f>
        <v>277219.05</v>
      </c>
      <c r="I1180" s="164">
        <f t="shared" si="1069"/>
        <v>0</v>
      </c>
      <c r="J1180" s="185"/>
      <c r="K1180" s="164"/>
      <c r="L1180" s="300"/>
      <c r="M1180" s="167">
        <f>SUM(M1176:M1178)*15%</f>
        <v>277219.05</v>
      </c>
      <c r="N1180" s="164">
        <f t="shared" si="1070"/>
        <v>0</v>
      </c>
      <c r="O1180" s="185"/>
      <c r="P1180" s="299"/>
      <c r="Q1180" s="300"/>
      <c r="R1180" s="167">
        <f>SUM(R1176:R1178)*15%</f>
        <v>277219.05</v>
      </c>
      <c r="S1180" s="712"/>
      <c r="T1180" s="169" t="s">
        <v>946</v>
      </c>
      <c r="U1180" s="169" t="s">
        <v>946</v>
      </c>
      <c r="V1180" s="121" t="s">
        <v>881</v>
      </c>
      <c r="W1180" s="121" t="s">
        <v>964</v>
      </c>
      <c r="X1180" s="170">
        <f>H1180/4</f>
        <v>69304.762499999997</v>
      </c>
      <c r="Y1180" s="200">
        <f t="shared" si="1062"/>
        <v>4</v>
      </c>
      <c r="Z1180" s="167">
        <f t="shared" si="1063"/>
        <v>277219.05</v>
      </c>
      <c r="AA1180" s="170">
        <f>M1180/4</f>
        <v>69304.762499999997</v>
      </c>
      <c r="AB1180" s="200">
        <f t="shared" si="1065"/>
        <v>4</v>
      </c>
      <c r="AC1180" s="167">
        <f>M1180</f>
        <v>277219.05</v>
      </c>
      <c r="AD1180" s="170">
        <f>R1180/4</f>
        <v>69304.762499999997</v>
      </c>
      <c r="AE1180" s="200">
        <f t="shared" si="1067"/>
        <v>4</v>
      </c>
      <c r="AF1180" s="167">
        <f t="shared" si="1068"/>
        <v>277219.05</v>
      </c>
      <c r="AG1180" s="67"/>
    </row>
    <row r="1181" spans="1:33">
      <c r="A1181" s="134"/>
      <c r="B1181" s="177"/>
      <c r="C1181" s="113"/>
      <c r="D1181" s="113"/>
      <c r="E1181" s="113"/>
      <c r="F1181" s="113"/>
      <c r="G1181" s="113"/>
      <c r="H1181" s="178">
        <f>SUM(H1176:H1180)</f>
        <v>2310158.75</v>
      </c>
      <c r="I1181" s="178"/>
      <c r="J1181" s="113"/>
      <c r="K1181" s="113"/>
      <c r="L1181" s="113"/>
      <c r="M1181" s="178">
        <f>SUM(M1176:M1180)</f>
        <v>2310158.75</v>
      </c>
      <c r="N1181" s="178"/>
      <c r="O1181" s="113"/>
      <c r="P1181" s="113"/>
      <c r="Q1181" s="113"/>
      <c r="R1181" s="178">
        <f>SUM(R1176:R1180)</f>
        <v>2310158.75</v>
      </c>
      <c r="S1181" s="712"/>
      <c r="T1181" s="111"/>
      <c r="U1181" s="111"/>
      <c r="V1181" s="67"/>
      <c r="W1181" s="111"/>
      <c r="X1181" s="111"/>
      <c r="Y1181" s="111"/>
      <c r="Z1181" s="111"/>
      <c r="AA1181" s="111"/>
      <c r="AB1181" s="111"/>
      <c r="AC1181" s="111"/>
      <c r="AD1181" s="111"/>
      <c r="AE1181" s="111"/>
      <c r="AF1181" s="111"/>
      <c r="AG1181" s="67"/>
    </row>
    <row r="1182" spans="1:33">
      <c r="A1182" s="9"/>
      <c r="B1182" s="215"/>
      <c r="C1182" s="215"/>
      <c r="D1182" s="215"/>
      <c r="E1182" s="215"/>
      <c r="F1182" s="215"/>
      <c r="G1182" s="215"/>
      <c r="H1182" s="132"/>
      <c r="I1182" s="215"/>
      <c r="J1182" s="215"/>
      <c r="K1182" s="215"/>
      <c r="L1182" s="111"/>
      <c r="M1182" s="132">
        <f>M1181/25.8305</f>
        <v>89435.309033894038</v>
      </c>
      <c r="N1182" s="111"/>
      <c r="O1182" s="111"/>
      <c r="P1182" s="111"/>
      <c r="Q1182" s="111"/>
      <c r="R1182" s="132">
        <f>R1181/25.8305</f>
        <v>89435.309033894038</v>
      </c>
      <c r="S1182" s="712"/>
      <c r="T1182" s="111"/>
      <c r="U1182" s="111"/>
      <c r="V1182" s="67"/>
      <c r="W1182" s="111"/>
      <c r="X1182" s="132"/>
      <c r="Y1182" s="133"/>
      <c r="Z1182" s="132"/>
      <c r="AA1182" s="132"/>
      <c r="AB1182" s="133"/>
      <c r="AC1182" s="132"/>
      <c r="AD1182" s="132"/>
      <c r="AE1182" s="133"/>
      <c r="AF1182" s="132"/>
      <c r="AG1182" s="67"/>
    </row>
    <row r="1183" spans="1:33">
      <c r="A1183" s="9"/>
      <c r="B1183" s="215"/>
      <c r="C1183" s="215"/>
      <c r="D1183" s="215"/>
      <c r="E1183" s="215"/>
      <c r="F1183" s="215"/>
      <c r="G1183" s="215"/>
      <c r="H1183" s="215"/>
      <c r="I1183" s="215"/>
      <c r="J1183" s="215"/>
      <c r="K1183" s="215"/>
      <c r="L1183" s="111"/>
      <c r="M1183" s="111"/>
      <c r="N1183" s="111"/>
      <c r="O1183" s="111"/>
      <c r="P1183" s="111"/>
      <c r="Q1183" s="111"/>
      <c r="R1183" s="111"/>
      <c r="S1183" s="712"/>
      <c r="T1183" s="111"/>
      <c r="U1183" s="111"/>
      <c r="V1183" s="67"/>
      <c r="W1183" s="111"/>
      <c r="X1183" s="132"/>
      <c r="Y1183" s="133"/>
      <c r="Z1183" s="132"/>
      <c r="AA1183" s="132"/>
      <c r="AB1183" s="133"/>
      <c r="AC1183" s="132"/>
      <c r="AD1183" s="132"/>
      <c r="AE1183" s="133"/>
      <c r="AF1183" s="132"/>
      <c r="AG1183" s="67"/>
    </row>
    <row r="1184" spans="1:33">
      <c r="A1184" s="725">
        <v>69</v>
      </c>
      <c r="B1184" s="901" t="e" vm="1">
        <f>'[2]AUN Budget'!$E$288</f>
        <v>#VALUE!</v>
      </c>
      <c r="C1184" s="898"/>
      <c r="D1184" s="900">
        <v>2021</v>
      </c>
      <c r="E1184" s="898"/>
      <c r="F1184" s="898"/>
      <c r="G1184" s="898"/>
      <c r="H1184" s="898"/>
      <c r="I1184" s="900">
        <v>2022</v>
      </c>
      <c r="J1184" s="898"/>
      <c r="K1184" s="898"/>
      <c r="L1184" s="898"/>
      <c r="M1184" s="898"/>
      <c r="N1184" s="900">
        <v>2023</v>
      </c>
      <c r="O1184" s="898"/>
      <c r="P1184" s="898"/>
      <c r="Q1184" s="898"/>
      <c r="R1184" s="898"/>
      <c r="S1184" s="712"/>
      <c r="T1184" s="111"/>
      <c r="U1184" s="111"/>
      <c r="V1184" s="67"/>
      <c r="W1184" s="111"/>
      <c r="X1184" s="132"/>
      <c r="Y1184" s="133"/>
      <c r="Z1184" s="132"/>
      <c r="AA1184" s="132"/>
      <c r="AB1184" s="133"/>
      <c r="AC1184" s="132"/>
      <c r="AD1184" s="132"/>
      <c r="AE1184" s="133"/>
      <c r="AF1184" s="132"/>
      <c r="AG1184" s="67"/>
    </row>
    <row r="1185" spans="1:33">
      <c r="A1185" s="134" t="s">
        <v>182</v>
      </c>
      <c r="B1185" s="113" t="s">
        <v>755</v>
      </c>
      <c r="C1185" s="113" t="s">
        <v>756</v>
      </c>
      <c r="D1185" s="113" t="s">
        <v>757</v>
      </c>
      <c r="E1185" s="113" t="s">
        <v>931</v>
      </c>
      <c r="F1185" s="113" t="s">
        <v>759</v>
      </c>
      <c r="G1185" s="113" t="s">
        <v>932</v>
      </c>
      <c r="H1185" s="113" t="s">
        <v>933</v>
      </c>
      <c r="I1185" s="113" t="s">
        <v>757</v>
      </c>
      <c r="J1185" s="113" t="s">
        <v>931</v>
      </c>
      <c r="K1185" s="113" t="s">
        <v>759</v>
      </c>
      <c r="L1185" s="113" t="s">
        <v>932</v>
      </c>
      <c r="M1185" s="113" t="s">
        <v>933</v>
      </c>
      <c r="N1185" s="113" t="s">
        <v>757</v>
      </c>
      <c r="O1185" s="113" t="s">
        <v>931</v>
      </c>
      <c r="P1185" s="113" t="s">
        <v>759</v>
      </c>
      <c r="Q1185" s="113" t="s">
        <v>932</v>
      </c>
      <c r="R1185" s="113" t="s">
        <v>933</v>
      </c>
      <c r="S1185" s="712"/>
      <c r="T1185" s="115" t="s">
        <v>387</v>
      </c>
      <c r="U1185" s="115" t="s">
        <v>388</v>
      </c>
      <c r="V1185" s="115" t="s">
        <v>934</v>
      </c>
      <c r="W1185" s="296" t="s">
        <v>935</v>
      </c>
      <c r="X1185" s="297" t="s">
        <v>936</v>
      </c>
      <c r="Y1185" s="298" t="s">
        <v>937</v>
      </c>
      <c r="Z1185" s="297" t="s">
        <v>938</v>
      </c>
      <c r="AA1185" s="297" t="s">
        <v>939</v>
      </c>
      <c r="AB1185" s="298" t="s">
        <v>940</v>
      </c>
      <c r="AC1185" s="297" t="s">
        <v>941</v>
      </c>
      <c r="AD1185" s="297" t="s">
        <v>942</v>
      </c>
      <c r="AE1185" s="298" t="s">
        <v>943</v>
      </c>
      <c r="AF1185" s="297" t="s">
        <v>944</v>
      </c>
      <c r="AG1185" s="67"/>
    </row>
    <row r="1186" spans="1:33">
      <c r="A1186" s="134"/>
      <c r="B1186" s="153">
        <v>1</v>
      </c>
      <c r="C1186" s="121" t="s">
        <v>1635</v>
      </c>
      <c r="D1186" s="164">
        <f>H1186/F1186</f>
        <v>140.3076437144662</v>
      </c>
      <c r="E1186" s="165"/>
      <c r="F1186" s="164">
        <f>1000+500+50+33</f>
        <v>1583</v>
      </c>
      <c r="G1186" s="153"/>
      <c r="H1186" s="167">
        <f>40000+50000+80000+52107</f>
        <v>222107</v>
      </c>
      <c r="I1186" s="164"/>
      <c r="J1186" s="165"/>
      <c r="K1186" s="164"/>
      <c r="L1186" s="153"/>
      <c r="M1186" s="167"/>
      <c r="N1186" s="164"/>
      <c r="O1186" s="165"/>
      <c r="P1186" s="164"/>
      <c r="Q1186" s="153"/>
      <c r="R1186" s="167"/>
      <c r="S1186" s="712"/>
      <c r="T1186" s="169" t="e" vm="1">
        <f>'[2]AUN Budget'!$D$289</f>
        <v>#VALUE!</v>
      </c>
      <c r="U1186" s="169" t="e" vm="1">
        <f>'[2]AUN Budget'!$E$289</f>
        <v>#VALUE!</v>
      </c>
      <c r="V1186" s="121" t="s">
        <v>1000</v>
      </c>
      <c r="W1186" s="121" t="s">
        <v>789</v>
      </c>
      <c r="X1186" s="170">
        <f>D1186</f>
        <v>140.3076437144662</v>
      </c>
      <c r="Y1186" s="200">
        <f>$F$1186</f>
        <v>1583</v>
      </c>
      <c r="Z1186" s="167">
        <f>H1186</f>
        <v>222107</v>
      </c>
      <c r="AA1186" s="170">
        <f>X1186</f>
        <v>140.3076437144662</v>
      </c>
      <c r="AB1186" s="200">
        <f>AC1186/AA1186</f>
        <v>0</v>
      </c>
      <c r="AC1186" s="167">
        <f>M1186</f>
        <v>0</v>
      </c>
      <c r="AD1186" s="170">
        <f>AA1186</f>
        <v>140.3076437144662</v>
      </c>
      <c r="AE1186" s="200">
        <f>AF1186/AD1186</f>
        <v>0</v>
      </c>
      <c r="AF1186" s="167">
        <f>R1186</f>
        <v>0</v>
      </c>
      <c r="AG1186" s="67"/>
    </row>
    <row r="1187" spans="1:33">
      <c r="A1187" s="134"/>
      <c r="B1187" s="153"/>
      <c r="C1187" s="301" t="s">
        <v>1636</v>
      </c>
      <c r="D1187" s="164"/>
      <c r="E1187" s="165"/>
      <c r="F1187" s="164"/>
      <c r="G1187" s="153"/>
      <c r="H1187" s="167"/>
      <c r="I1187" s="164"/>
      <c r="J1187" s="165"/>
      <c r="K1187" s="164"/>
      <c r="L1187" s="153"/>
      <c r="M1187" s="167"/>
      <c r="N1187" s="164"/>
      <c r="O1187" s="165"/>
      <c r="P1187" s="164"/>
      <c r="Q1187" s="153"/>
      <c r="R1187" s="167"/>
      <c r="S1187" s="712"/>
      <c r="T1187" s="169"/>
      <c r="U1187" s="169"/>
      <c r="V1187" s="121"/>
      <c r="W1187" s="121"/>
      <c r="X1187" s="170"/>
      <c r="Y1187" s="200"/>
      <c r="Z1187" s="167"/>
      <c r="AA1187" s="170"/>
      <c r="AB1187" s="200"/>
      <c r="AC1187" s="167"/>
      <c r="AD1187" s="170"/>
      <c r="AE1187" s="200"/>
      <c r="AF1187" s="167"/>
      <c r="AG1187" s="67"/>
    </row>
    <row r="1188" spans="1:33">
      <c r="A1188" s="134"/>
      <c r="B1188" s="153"/>
      <c r="C1188" s="301" t="s">
        <v>1637</v>
      </c>
      <c r="D1188" s="164"/>
      <c r="E1188" s="165"/>
      <c r="F1188" s="164"/>
      <c r="G1188" s="153"/>
      <c r="H1188" s="167"/>
      <c r="I1188" s="164"/>
      <c r="J1188" s="165"/>
      <c r="K1188" s="164"/>
      <c r="L1188" s="153"/>
      <c r="M1188" s="167"/>
      <c r="N1188" s="164"/>
      <c r="O1188" s="165"/>
      <c r="P1188" s="164"/>
      <c r="Q1188" s="153"/>
      <c r="R1188" s="167"/>
      <c r="S1188" s="712"/>
      <c r="T1188" s="169"/>
      <c r="U1188" s="169"/>
      <c r="V1188" s="121"/>
      <c r="W1188" s="121"/>
      <c r="X1188" s="170"/>
      <c r="Y1188" s="200"/>
      <c r="Z1188" s="167"/>
      <c r="AA1188" s="170"/>
      <c r="AB1188" s="200"/>
      <c r="AC1188" s="167"/>
      <c r="AD1188" s="170"/>
      <c r="AE1188" s="200"/>
      <c r="AF1188" s="167"/>
      <c r="AG1188" s="67"/>
    </row>
    <row r="1189" spans="1:33">
      <c r="A1189" s="134"/>
      <c r="B1189" s="153"/>
      <c r="C1189" s="301" t="s">
        <v>1638</v>
      </c>
      <c r="D1189" s="164"/>
      <c r="E1189" s="165"/>
      <c r="F1189" s="164"/>
      <c r="G1189" s="153"/>
      <c r="H1189" s="167"/>
      <c r="I1189" s="164"/>
      <c r="J1189" s="165"/>
      <c r="K1189" s="164"/>
      <c r="L1189" s="153"/>
      <c r="M1189" s="167"/>
      <c r="N1189" s="164"/>
      <c r="O1189" s="165"/>
      <c r="P1189" s="164"/>
      <c r="Q1189" s="153"/>
      <c r="R1189" s="167"/>
      <c r="S1189" s="712"/>
      <c r="T1189" s="169"/>
      <c r="U1189" s="169"/>
      <c r="V1189" s="121"/>
      <c r="W1189" s="121"/>
      <c r="X1189" s="170"/>
      <c r="Y1189" s="200"/>
      <c r="Z1189" s="167"/>
      <c r="AA1189" s="170"/>
      <c r="AB1189" s="200"/>
      <c r="AC1189" s="167"/>
      <c r="AD1189" s="170"/>
      <c r="AE1189" s="200"/>
      <c r="AF1189" s="167"/>
      <c r="AG1189" s="67"/>
    </row>
    <row r="1190" spans="1:33">
      <c r="A1190" s="134"/>
      <c r="B1190" s="153"/>
      <c r="C1190" s="301" t="s">
        <v>1639</v>
      </c>
      <c r="D1190" s="164"/>
      <c r="E1190" s="165"/>
      <c r="F1190" s="164"/>
      <c r="G1190" s="153"/>
      <c r="H1190" s="167"/>
      <c r="I1190" s="164"/>
      <c r="J1190" s="165"/>
      <c r="K1190" s="164"/>
      <c r="L1190" s="153"/>
      <c r="M1190" s="167"/>
      <c r="N1190" s="164"/>
      <c r="O1190" s="165"/>
      <c r="P1190" s="164"/>
      <c r="Q1190" s="153"/>
      <c r="R1190" s="167"/>
      <c r="S1190" s="712"/>
      <c r="T1190" s="169"/>
      <c r="U1190" s="169"/>
      <c r="V1190" s="121"/>
      <c r="W1190" s="121"/>
      <c r="X1190" s="170"/>
      <c r="Y1190" s="200"/>
      <c r="Z1190" s="167"/>
      <c r="AA1190" s="170"/>
      <c r="AB1190" s="200"/>
      <c r="AC1190" s="167"/>
      <c r="AD1190" s="170"/>
      <c r="AE1190" s="200"/>
      <c r="AF1190" s="167"/>
      <c r="AG1190" s="67"/>
    </row>
    <row r="1191" spans="1:33">
      <c r="A1191" s="134"/>
      <c r="B1191" s="153">
        <v>2</v>
      </c>
      <c r="C1191" s="121" t="s">
        <v>1640</v>
      </c>
      <c r="D1191" s="164">
        <v>4547</v>
      </c>
      <c r="E1191" s="165"/>
      <c r="F1191" s="164">
        <v>40</v>
      </c>
      <c r="G1191" s="153"/>
      <c r="H1191" s="167">
        <f t="shared" ref="H1191:H1192" si="1071">D1191*F1191</f>
        <v>181880</v>
      </c>
      <c r="I1191" s="164">
        <v>4547</v>
      </c>
      <c r="J1191" s="165"/>
      <c r="K1191" s="164">
        <v>40</v>
      </c>
      <c r="L1191" s="153"/>
      <c r="M1191" s="167">
        <f t="shared" ref="M1191:M1192" si="1072">I1191*K1191</f>
        <v>181880</v>
      </c>
      <c r="N1191" s="164"/>
      <c r="O1191" s="165"/>
      <c r="P1191" s="164"/>
      <c r="Q1191" s="153"/>
      <c r="R1191" s="167"/>
      <c r="S1191" s="712"/>
      <c r="T1191" s="169" t="s">
        <v>946</v>
      </c>
      <c r="U1191" s="169" t="s">
        <v>946</v>
      </c>
      <c r="V1191" s="121" t="s">
        <v>848</v>
      </c>
      <c r="W1191" s="164" t="s">
        <v>947</v>
      </c>
      <c r="X1191" s="170">
        <f>'Assumptions TRC_AUN'!$E$33</f>
        <v>3334</v>
      </c>
      <c r="Y1191" s="200">
        <f t="shared" ref="Y1191:Y1199" si="1073">Z1191/X1191</f>
        <v>54.553089382123574</v>
      </c>
      <c r="Z1191" s="167">
        <f t="shared" ref="Z1191:Z1199" si="1074">H1191</f>
        <v>181880</v>
      </c>
      <c r="AA1191" s="170">
        <f t="shared" ref="AA1191:AA1198" si="1075">X1191</f>
        <v>3334</v>
      </c>
      <c r="AB1191" s="200">
        <f t="shared" ref="AB1191:AB1199" si="1076">AC1191/AA1191</f>
        <v>54.553089382123574</v>
      </c>
      <c r="AC1191" s="167">
        <f t="shared" ref="AC1191:AC1199" si="1077">M1191</f>
        <v>181880</v>
      </c>
      <c r="AD1191" s="170">
        <f t="shared" ref="AD1191:AD1198" si="1078">AA1191</f>
        <v>3334</v>
      </c>
      <c r="AE1191" s="200">
        <f t="shared" ref="AE1191:AE1199" si="1079">AF1191/AD1191</f>
        <v>0</v>
      </c>
      <c r="AF1191" s="167">
        <f t="shared" ref="AF1191:AF1199" si="1080">R1191</f>
        <v>0</v>
      </c>
      <c r="AG1191" s="67"/>
    </row>
    <row r="1192" spans="1:33">
      <c r="A1192" s="134"/>
      <c r="B1192" s="153">
        <v>3</v>
      </c>
      <c r="C1192" s="121" t="s">
        <v>1641</v>
      </c>
      <c r="D1192" s="164">
        <f>'Assumptions TRC_AUN'!$J$71</f>
        <v>52696.125</v>
      </c>
      <c r="E1192" s="165"/>
      <c r="F1192" s="164">
        <v>2</v>
      </c>
      <c r="G1192" s="153"/>
      <c r="H1192" s="167">
        <f t="shared" si="1071"/>
        <v>105392.25</v>
      </c>
      <c r="I1192" s="164">
        <f>'Assumptions TRC_AUN'!$J$71</f>
        <v>52696.125</v>
      </c>
      <c r="J1192" s="165"/>
      <c r="K1192" s="164">
        <v>2</v>
      </c>
      <c r="L1192" s="153"/>
      <c r="M1192" s="167">
        <f t="shared" si="1072"/>
        <v>105392.25</v>
      </c>
      <c r="N1192" s="164">
        <f>'Assumptions TRC_AUN'!$J$71</f>
        <v>52696.125</v>
      </c>
      <c r="O1192" s="165"/>
      <c r="P1192" s="164">
        <v>2</v>
      </c>
      <c r="Q1192" s="153"/>
      <c r="R1192" s="167">
        <f>N1192*P1192</f>
        <v>105392.25</v>
      </c>
      <c r="S1192" s="712"/>
      <c r="T1192" s="169" t="s">
        <v>946</v>
      </c>
      <c r="U1192" s="169" t="s">
        <v>946</v>
      </c>
      <c r="V1192" s="121" t="s">
        <v>950</v>
      </c>
      <c r="W1192" s="121" t="s">
        <v>951</v>
      </c>
      <c r="X1192" s="170">
        <f>'Assumptions TRC_AUN'!$J$72</f>
        <v>878.26874999999995</v>
      </c>
      <c r="Y1192" s="200">
        <f t="shared" si="1073"/>
        <v>120</v>
      </c>
      <c r="Z1192" s="167">
        <f t="shared" si="1074"/>
        <v>105392.25</v>
      </c>
      <c r="AA1192" s="170">
        <f t="shared" si="1075"/>
        <v>878.26874999999995</v>
      </c>
      <c r="AB1192" s="200">
        <f t="shared" si="1076"/>
        <v>120</v>
      </c>
      <c r="AC1192" s="167">
        <f t="shared" si="1077"/>
        <v>105392.25</v>
      </c>
      <c r="AD1192" s="170">
        <f t="shared" si="1078"/>
        <v>878.26874999999995</v>
      </c>
      <c r="AE1192" s="200">
        <f t="shared" si="1079"/>
        <v>120</v>
      </c>
      <c r="AF1192" s="167">
        <f t="shared" si="1080"/>
        <v>105392.25</v>
      </c>
      <c r="AG1192" s="67"/>
    </row>
    <row r="1193" spans="1:33">
      <c r="A1193" s="134"/>
      <c r="B1193" s="153">
        <v>4</v>
      </c>
      <c r="C1193" s="121" t="s">
        <v>1642</v>
      </c>
      <c r="D1193" s="164">
        <f>'Assumptions TRC_AUN'!$E$33</f>
        <v>3334</v>
      </c>
      <c r="E1193" s="165">
        <v>0.5</v>
      </c>
      <c r="F1193" s="164">
        <f>25*9</f>
        <v>225</v>
      </c>
      <c r="G1193" s="153"/>
      <c r="H1193" s="167">
        <f>D1193*F1193*E1193</f>
        <v>375075</v>
      </c>
      <c r="I1193" s="164">
        <f>'Assumptions TRC_AUN'!$E$33</f>
        <v>3334</v>
      </c>
      <c r="J1193" s="165">
        <v>0.5</v>
      </c>
      <c r="K1193" s="164">
        <f>25*8</f>
        <v>200</v>
      </c>
      <c r="L1193" s="153"/>
      <c r="M1193" s="167">
        <f>I1193*K1193*J1193</f>
        <v>333400</v>
      </c>
      <c r="N1193" s="164">
        <f>'Assumptions TRC_AUN'!$E$33</f>
        <v>3334</v>
      </c>
      <c r="O1193" s="165">
        <v>0.5</v>
      </c>
      <c r="P1193" s="164">
        <f>25*7</f>
        <v>175</v>
      </c>
      <c r="Q1193" s="153"/>
      <c r="R1193" s="167">
        <f>N1193*P1193*O1193</f>
        <v>291725</v>
      </c>
      <c r="S1193" s="712"/>
      <c r="T1193" s="169" t="s">
        <v>946</v>
      </c>
      <c r="U1193" s="169" t="s">
        <v>946</v>
      </c>
      <c r="V1193" s="121" t="s">
        <v>848</v>
      </c>
      <c r="W1193" s="164" t="s">
        <v>947</v>
      </c>
      <c r="X1193" s="170">
        <f>'Assumptions TRC_AUN'!$E$33</f>
        <v>3334</v>
      </c>
      <c r="Y1193" s="200">
        <f t="shared" si="1073"/>
        <v>112.5</v>
      </c>
      <c r="Z1193" s="167">
        <f t="shared" si="1074"/>
        <v>375075</v>
      </c>
      <c r="AA1193" s="170">
        <f t="shared" si="1075"/>
        <v>3334</v>
      </c>
      <c r="AB1193" s="200">
        <f t="shared" si="1076"/>
        <v>100</v>
      </c>
      <c r="AC1193" s="167">
        <f t="shared" si="1077"/>
        <v>333400</v>
      </c>
      <c r="AD1193" s="170">
        <f t="shared" si="1078"/>
        <v>3334</v>
      </c>
      <c r="AE1193" s="200">
        <f t="shared" si="1079"/>
        <v>87.5</v>
      </c>
      <c r="AF1193" s="167">
        <f t="shared" si="1080"/>
        <v>291725</v>
      </c>
      <c r="AG1193" s="67"/>
    </row>
    <row r="1194" spans="1:33">
      <c r="A1194" s="134"/>
      <c r="B1194" s="153">
        <v>5</v>
      </c>
      <c r="C1194" s="121" t="s">
        <v>1643</v>
      </c>
      <c r="D1194" s="164">
        <f>$D$53*7+$D$50*2</f>
        <v>19896</v>
      </c>
      <c r="E1194" s="165"/>
      <c r="F1194" s="164">
        <v>24</v>
      </c>
      <c r="G1194" s="153"/>
      <c r="H1194" s="167">
        <f t="shared" ref="H1194:H1197" si="1081">D1194*F1194</f>
        <v>477504</v>
      </c>
      <c r="I1194" s="164"/>
      <c r="J1194" s="165"/>
      <c r="K1194" s="164"/>
      <c r="L1194" s="153"/>
      <c r="M1194" s="167"/>
      <c r="N1194" s="164"/>
      <c r="O1194" s="165"/>
      <c r="P1194" s="164"/>
      <c r="Q1194" s="153"/>
      <c r="R1194" s="167"/>
      <c r="S1194" s="712"/>
      <c r="T1194" s="169" t="s">
        <v>946</v>
      </c>
      <c r="U1194" s="169" t="s">
        <v>946</v>
      </c>
      <c r="V1194" s="121" t="s">
        <v>1392</v>
      </c>
      <c r="W1194" s="164" t="s">
        <v>789</v>
      </c>
      <c r="X1194" s="170">
        <f>D1194</f>
        <v>19896</v>
      </c>
      <c r="Y1194" s="200">
        <f t="shared" si="1073"/>
        <v>24</v>
      </c>
      <c r="Z1194" s="167">
        <f t="shared" si="1074"/>
        <v>477504</v>
      </c>
      <c r="AA1194" s="170">
        <f t="shared" si="1075"/>
        <v>19896</v>
      </c>
      <c r="AB1194" s="200">
        <f t="shared" si="1076"/>
        <v>0</v>
      </c>
      <c r="AC1194" s="167">
        <f t="shared" si="1077"/>
        <v>0</v>
      </c>
      <c r="AD1194" s="170">
        <f t="shared" si="1078"/>
        <v>19896</v>
      </c>
      <c r="AE1194" s="200">
        <f t="shared" si="1079"/>
        <v>0</v>
      </c>
      <c r="AF1194" s="167">
        <f t="shared" si="1080"/>
        <v>0</v>
      </c>
      <c r="AG1194" s="67"/>
    </row>
    <row r="1195" spans="1:33">
      <c r="A1195" s="134"/>
      <c r="B1195" s="153">
        <v>6</v>
      </c>
      <c r="C1195" s="121" t="s">
        <v>1644</v>
      </c>
      <c r="D1195" s="164">
        <f>'Assumptions TRC_AUN'!$I$174</f>
        <v>5745</v>
      </c>
      <c r="E1195" s="165"/>
      <c r="F1195" s="164">
        <f>9*4</f>
        <v>36</v>
      </c>
      <c r="G1195" s="153"/>
      <c r="H1195" s="167">
        <f t="shared" si="1081"/>
        <v>206820</v>
      </c>
      <c r="I1195" s="164">
        <f>'Assumptions TRC_AUN'!$I$174</f>
        <v>5745</v>
      </c>
      <c r="J1195" s="165"/>
      <c r="K1195" s="164">
        <f>9*4</f>
        <v>36</v>
      </c>
      <c r="L1195" s="153"/>
      <c r="M1195" s="167">
        <f t="shared" ref="M1195:M1197" si="1082">I1195*K1195</f>
        <v>206820</v>
      </c>
      <c r="N1195" s="164"/>
      <c r="O1195" s="165"/>
      <c r="P1195" s="164"/>
      <c r="Q1195" s="153"/>
      <c r="R1195" s="167">
        <f t="shared" ref="R1195:R1197" si="1083">N1195*P1195</f>
        <v>0</v>
      </c>
      <c r="S1195" s="712"/>
      <c r="T1195" s="169" t="s">
        <v>946</v>
      </c>
      <c r="U1195" s="169" t="s">
        <v>946</v>
      </c>
      <c r="V1195" s="121" t="s">
        <v>809</v>
      </c>
      <c r="W1195" s="121" t="s">
        <v>791</v>
      </c>
      <c r="X1195" s="170">
        <f>'Assumptions TRC_AUN'!$I$175</f>
        <v>2872.5</v>
      </c>
      <c r="Y1195" s="200">
        <f t="shared" si="1073"/>
        <v>72</v>
      </c>
      <c r="Z1195" s="167">
        <f t="shared" si="1074"/>
        <v>206820</v>
      </c>
      <c r="AA1195" s="170">
        <f t="shared" si="1075"/>
        <v>2872.5</v>
      </c>
      <c r="AB1195" s="200">
        <f t="shared" si="1076"/>
        <v>72</v>
      </c>
      <c r="AC1195" s="167">
        <f t="shared" si="1077"/>
        <v>206820</v>
      </c>
      <c r="AD1195" s="170">
        <f t="shared" si="1078"/>
        <v>2872.5</v>
      </c>
      <c r="AE1195" s="200">
        <f t="shared" si="1079"/>
        <v>0</v>
      </c>
      <c r="AF1195" s="167">
        <f t="shared" si="1080"/>
        <v>0</v>
      </c>
      <c r="AG1195" s="67"/>
    </row>
    <row r="1196" spans="1:33">
      <c r="A1196" s="134"/>
      <c r="B1196" s="153">
        <v>7</v>
      </c>
      <c r="C1196" s="121" t="s">
        <v>1645</v>
      </c>
      <c r="D1196" s="164">
        <v>250</v>
      </c>
      <c r="E1196" s="165"/>
      <c r="F1196" s="164">
        <v>150</v>
      </c>
      <c r="G1196" s="153"/>
      <c r="H1196" s="167">
        <f t="shared" si="1081"/>
        <v>37500</v>
      </c>
      <c r="I1196" s="164">
        <v>250</v>
      </c>
      <c r="J1196" s="165"/>
      <c r="K1196" s="164">
        <v>150</v>
      </c>
      <c r="L1196" s="153"/>
      <c r="M1196" s="167">
        <f t="shared" si="1082"/>
        <v>37500</v>
      </c>
      <c r="N1196" s="164">
        <v>250</v>
      </c>
      <c r="O1196" s="165"/>
      <c r="P1196" s="164">
        <v>150</v>
      </c>
      <c r="Q1196" s="153"/>
      <c r="R1196" s="167">
        <f t="shared" si="1083"/>
        <v>37500</v>
      </c>
      <c r="S1196" s="712"/>
      <c r="T1196" s="169" t="s">
        <v>946</v>
      </c>
      <c r="U1196" s="169" t="s">
        <v>946</v>
      </c>
      <c r="V1196" s="121" t="s">
        <v>1000</v>
      </c>
      <c r="W1196" s="121" t="s">
        <v>789</v>
      </c>
      <c r="X1196" s="170">
        <f>D1196</f>
        <v>250</v>
      </c>
      <c r="Y1196" s="200">
        <f t="shared" si="1073"/>
        <v>150</v>
      </c>
      <c r="Z1196" s="167">
        <f t="shared" si="1074"/>
        <v>37500</v>
      </c>
      <c r="AA1196" s="170">
        <f t="shared" si="1075"/>
        <v>250</v>
      </c>
      <c r="AB1196" s="200">
        <f t="shared" si="1076"/>
        <v>150</v>
      </c>
      <c r="AC1196" s="167">
        <f t="shared" si="1077"/>
        <v>37500</v>
      </c>
      <c r="AD1196" s="170">
        <f t="shared" si="1078"/>
        <v>250</v>
      </c>
      <c r="AE1196" s="200">
        <f t="shared" si="1079"/>
        <v>150</v>
      </c>
      <c r="AF1196" s="167">
        <f t="shared" si="1080"/>
        <v>37500</v>
      </c>
      <c r="AG1196" s="67"/>
    </row>
    <row r="1197" spans="1:33">
      <c r="A1197" s="134"/>
      <c r="B1197" s="153">
        <v>8</v>
      </c>
      <c r="C1197" s="121" t="s">
        <v>1646</v>
      </c>
      <c r="D1197" s="164">
        <f>'Assumptions TRC_AUN'!$E$33</f>
        <v>3334</v>
      </c>
      <c r="E1197" s="165"/>
      <c r="F1197" s="164"/>
      <c r="G1197" s="153"/>
      <c r="H1197" s="167">
        <f t="shared" si="1081"/>
        <v>0</v>
      </c>
      <c r="I1197" s="164">
        <f>'Assumptions TRC_AUN'!$E$33</f>
        <v>3334</v>
      </c>
      <c r="J1197" s="165"/>
      <c r="K1197" s="164"/>
      <c r="L1197" s="153"/>
      <c r="M1197" s="167">
        <f t="shared" si="1082"/>
        <v>0</v>
      </c>
      <c r="N1197" s="164">
        <f>'Assumptions TRC_AUN'!$E$33</f>
        <v>3334</v>
      </c>
      <c r="O1197" s="165"/>
      <c r="P1197" s="164">
        <v>28</v>
      </c>
      <c r="Q1197" s="153"/>
      <c r="R1197" s="167">
        <f t="shared" si="1083"/>
        <v>93352</v>
      </c>
      <c r="S1197" s="712"/>
      <c r="T1197" s="169" t="s">
        <v>946</v>
      </c>
      <c r="U1197" s="169" t="s">
        <v>946</v>
      </c>
      <c r="V1197" s="121" t="s">
        <v>848</v>
      </c>
      <c r="W1197" s="164" t="s">
        <v>947</v>
      </c>
      <c r="X1197" s="170">
        <f>'Assumptions TRC_AUN'!$E$33</f>
        <v>3334</v>
      </c>
      <c r="Y1197" s="200">
        <f t="shared" si="1073"/>
        <v>0</v>
      </c>
      <c r="Z1197" s="167">
        <f t="shared" si="1074"/>
        <v>0</v>
      </c>
      <c r="AA1197" s="170">
        <f t="shared" si="1075"/>
        <v>3334</v>
      </c>
      <c r="AB1197" s="200">
        <f t="shared" si="1076"/>
        <v>0</v>
      </c>
      <c r="AC1197" s="167">
        <f t="shared" si="1077"/>
        <v>0</v>
      </c>
      <c r="AD1197" s="170">
        <f t="shared" si="1078"/>
        <v>3334</v>
      </c>
      <c r="AE1197" s="200">
        <f t="shared" si="1079"/>
        <v>28</v>
      </c>
      <c r="AF1197" s="167">
        <f t="shared" si="1080"/>
        <v>93352</v>
      </c>
      <c r="AG1197" s="67"/>
    </row>
    <row r="1198" spans="1:33">
      <c r="A1198" s="134"/>
      <c r="B1198" s="153">
        <v>9</v>
      </c>
      <c r="C1198" s="121" t="s">
        <v>959</v>
      </c>
      <c r="D1198" s="164"/>
      <c r="E1198" s="165"/>
      <c r="F1198" s="164"/>
      <c r="G1198" s="153"/>
      <c r="H1198" s="167">
        <f>SUM(H1186:H1197)*10%</f>
        <v>160627.82500000001</v>
      </c>
      <c r="I1198" s="164">
        <f t="shared" ref="I1198:I1199" si="1084">D1198</f>
        <v>0</v>
      </c>
      <c r="J1198" s="165"/>
      <c r="K1198" s="164"/>
      <c r="L1198" s="153"/>
      <c r="M1198" s="167">
        <f>SUM(M1186:M1197)*10%</f>
        <v>86499.225000000006</v>
      </c>
      <c r="N1198" s="164">
        <f t="shared" ref="N1198:N1199" si="1085">I1198</f>
        <v>0</v>
      </c>
      <c r="O1198" s="165"/>
      <c r="P1198" s="164"/>
      <c r="Q1198" s="153"/>
      <c r="R1198" s="167">
        <f>SUM(R1186:R1197)*10%</f>
        <v>52796.925000000003</v>
      </c>
      <c r="S1198" s="712"/>
      <c r="T1198" s="169" t="s">
        <v>946</v>
      </c>
      <c r="U1198" s="169" t="s">
        <v>946</v>
      </c>
      <c r="V1198" s="121" t="s">
        <v>875</v>
      </c>
      <c r="W1198" s="121" t="s">
        <v>961</v>
      </c>
      <c r="X1198" s="170">
        <f>'Assumptions HR_AUN'!$D$4*3</f>
        <v>88211.039066799218</v>
      </c>
      <c r="Y1198" s="200">
        <f t="shared" si="1073"/>
        <v>1.8209492451206932</v>
      </c>
      <c r="Z1198" s="167">
        <f t="shared" si="1074"/>
        <v>160627.82500000001</v>
      </c>
      <c r="AA1198" s="170">
        <f t="shared" si="1075"/>
        <v>88211.039066799218</v>
      </c>
      <c r="AB1198" s="200">
        <f t="shared" si="1076"/>
        <v>0.98059410607891251</v>
      </c>
      <c r="AC1198" s="167">
        <f t="shared" si="1077"/>
        <v>86499.225000000006</v>
      </c>
      <c r="AD1198" s="170">
        <f t="shared" si="1078"/>
        <v>88211.039066799218</v>
      </c>
      <c r="AE1198" s="200">
        <f t="shared" si="1079"/>
        <v>0.59852968016869956</v>
      </c>
      <c r="AF1198" s="167">
        <f t="shared" si="1080"/>
        <v>52796.925000000003</v>
      </c>
      <c r="AG1198" s="67"/>
    </row>
    <row r="1199" spans="1:33">
      <c r="A1199" s="134"/>
      <c r="B1199" s="153">
        <v>10</v>
      </c>
      <c r="C1199" s="121" t="s">
        <v>962</v>
      </c>
      <c r="D1199" s="164"/>
      <c r="E1199" s="185"/>
      <c r="F1199" s="299"/>
      <c r="G1199" s="300"/>
      <c r="H1199" s="167">
        <f>SUM(H1186:H1197)*15%</f>
        <v>240941.73749999999</v>
      </c>
      <c r="I1199" s="164">
        <f t="shared" si="1084"/>
        <v>0</v>
      </c>
      <c r="J1199" s="185"/>
      <c r="K1199" s="164"/>
      <c r="L1199" s="300"/>
      <c r="M1199" s="167">
        <f>SUM(M1186:M1197)*15%</f>
        <v>129748.83749999999</v>
      </c>
      <c r="N1199" s="164">
        <f t="shared" si="1085"/>
        <v>0</v>
      </c>
      <c r="O1199" s="185"/>
      <c r="P1199" s="299"/>
      <c r="Q1199" s="300"/>
      <c r="R1199" s="167">
        <f>SUM(R1186:R1197)*15%</f>
        <v>79195.387499999997</v>
      </c>
      <c r="S1199" s="712"/>
      <c r="T1199" s="169" t="s">
        <v>946</v>
      </c>
      <c r="U1199" s="169" t="s">
        <v>946</v>
      </c>
      <c r="V1199" s="121" t="s">
        <v>881</v>
      </c>
      <c r="W1199" s="121" t="s">
        <v>964</v>
      </c>
      <c r="X1199" s="170">
        <f>H1199/4</f>
        <v>60235.434374999997</v>
      </c>
      <c r="Y1199" s="200">
        <f t="shared" si="1073"/>
        <v>4</v>
      </c>
      <c r="Z1199" s="167">
        <f t="shared" si="1074"/>
        <v>240941.73749999999</v>
      </c>
      <c r="AA1199" s="170">
        <f>M1199/4</f>
        <v>32437.209374999999</v>
      </c>
      <c r="AB1199" s="200">
        <f t="shared" si="1076"/>
        <v>4</v>
      </c>
      <c r="AC1199" s="167">
        <f t="shared" si="1077"/>
        <v>129748.83749999999</v>
      </c>
      <c r="AD1199" s="170">
        <f>R1199/4</f>
        <v>19798.846874999999</v>
      </c>
      <c r="AE1199" s="200">
        <f t="shared" si="1079"/>
        <v>4</v>
      </c>
      <c r="AF1199" s="167">
        <f t="shared" si="1080"/>
        <v>79195.387499999997</v>
      </c>
      <c r="AG1199" s="67"/>
    </row>
    <row r="1200" spans="1:33">
      <c r="A1200" s="134"/>
      <c r="B1200" s="113"/>
      <c r="C1200" s="177"/>
      <c r="D1200" s="113"/>
      <c r="E1200" s="113"/>
      <c r="F1200" s="113"/>
      <c r="G1200" s="113"/>
      <c r="H1200" s="178">
        <f>SUM(H1186:H1199)</f>
        <v>2007847.8125</v>
      </c>
      <c r="I1200" s="178"/>
      <c r="J1200" s="113"/>
      <c r="K1200" s="113"/>
      <c r="L1200" s="113"/>
      <c r="M1200" s="178">
        <f>SUM(M1186:M1199)</f>
        <v>1081240.3125</v>
      </c>
      <c r="N1200" s="178"/>
      <c r="O1200" s="113"/>
      <c r="P1200" s="113"/>
      <c r="Q1200" s="113"/>
      <c r="R1200" s="178">
        <f>SUM(R1186:R1199)</f>
        <v>659961.5625</v>
      </c>
      <c r="S1200" s="712"/>
      <c r="T1200" s="111"/>
      <c r="U1200" s="111"/>
      <c r="V1200" s="111"/>
      <c r="W1200" s="132"/>
      <c r="X1200" s="133"/>
      <c r="Y1200" s="132"/>
      <c r="Z1200" s="132"/>
      <c r="AA1200" s="133"/>
      <c r="AB1200" s="132"/>
      <c r="AC1200" s="132"/>
      <c r="AD1200" s="133"/>
      <c r="AE1200" s="132"/>
      <c r="AF1200" s="132"/>
      <c r="AG1200" s="67"/>
    </row>
    <row r="1201" spans="1:33">
      <c r="A1201" s="9"/>
      <c r="B1201" s="215"/>
      <c r="C1201" s="215"/>
      <c r="D1201" s="215"/>
      <c r="E1201" s="215"/>
      <c r="F1201" s="215"/>
      <c r="G1201" s="215"/>
      <c r="H1201" s="215"/>
      <c r="I1201" s="215"/>
      <c r="J1201" s="215"/>
      <c r="K1201" s="215"/>
      <c r="L1201" s="111"/>
      <c r="M1201" s="215"/>
      <c r="N1201" s="111"/>
      <c r="O1201" s="111"/>
      <c r="P1201" s="111"/>
      <c r="Q1201" s="111"/>
      <c r="R1201" s="215"/>
      <c r="S1201" s="712"/>
      <c r="T1201" s="111"/>
      <c r="U1201" s="111"/>
      <c r="V1201" s="111"/>
      <c r="W1201" s="111"/>
      <c r="X1201" s="132"/>
      <c r="Y1201" s="133"/>
      <c r="Z1201" s="132"/>
      <c r="AA1201" s="132"/>
      <c r="AB1201" s="133"/>
      <c r="AC1201" s="132"/>
      <c r="AD1201" s="132"/>
      <c r="AE1201" s="133"/>
      <c r="AF1201" s="132"/>
      <c r="AG1201" s="67"/>
    </row>
    <row r="1202" spans="1:33">
      <c r="A1202" s="9"/>
      <c r="B1202" s="215"/>
      <c r="C1202" s="215"/>
      <c r="D1202" s="215"/>
      <c r="E1202" s="215"/>
      <c r="F1202" s="215"/>
      <c r="G1202" s="215"/>
      <c r="H1202" s="215"/>
      <c r="I1202" s="215"/>
      <c r="J1202" s="215"/>
      <c r="K1202" s="215"/>
      <c r="L1202" s="111"/>
      <c r="M1202" s="111"/>
      <c r="N1202" s="111"/>
      <c r="O1202" s="111"/>
      <c r="P1202" s="111"/>
      <c r="Q1202" s="111"/>
      <c r="R1202" s="111"/>
      <c r="S1202" s="712"/>
      <c r="T1202" s="111"/>
      <c r="U1202" s="111"/>
      <c r="V1202" s="111"/>
      <c r="W1202" s="111"/>
      <c r="X1202" s="132"/>
      <c r="Y1202" s="133"/>
      <c r="Z1202" s="132"/>
      <c r="AA1202" s="132"/>
      <c r="AB1202" s="133"/>
      <c r="AC1202" s="132"/>
      <c r="AD1202" s="132"/>
      <c r="AE1202" s="133"/>
      <c r="AF1202" s="132"/>
      <c r="AG1202" s="67"/>
    </row>
    <row r="1203" spans="1:33">
      <c r="A1203" s="725">
        <v>70</v>
      </c>
      <c r="B1203" s="726" t="e" vm="1">
        <f>'[2]AUN Budget'!$E$296</f>
        <v>#VALUE!</v>
      </c>
      <c r="C1203" s="731"/>
      <c r="D1203" s="731"/>
      <c r="E1203" s="731"/>
      <c r="F1203" s="731"/>
      <c r="G1203" s="731"/>
      <c r="H1203" s="731"/>
      <c r="I1203" s="111"/>
      <c r="J1203" s="111"/>
      <c r="K1203" s="111"/>
      <c r="L1203" s="111"/>
      <c r="M1203" s="111"/>
      <c r="N1203" s="111"/>
      <c r="O1203" s="111"/>
      <c r="P1203" s="111"/>
      <c r="Q1203" s="111"/>
      <c r="R1203" s="111"/>
      <c r="S1203" s="712"/>
      <c r="T1203" s="111"/>
      <c r="U1203" s="111"/>
      <c r="V1203" s="111"/>
      <c r="W1203" s="111"/>
      <c r="X1203" s="132"/>
      <c r="Y1203" s="111"/>
      <c r="Z1203" s="111"/>
      <c r="AA1203" s="111"/>
      <c r="AB1203" s="111"/>
      <c r="AC1203" s="111"/>
      <c r="AD1203" s="111"/>
      <c r="AE1203" s="111"/>
      <c r="AF1203" s="111"/>
      <c r="AG1203" s="67"/>
    </row>
    <row r="1204" spans="1:33">
      <c r="A1204" s="134" t="s">
        <v>177</v>
      </c>
      <c r="B1204" s="143" t="s">
        <v>755</v>
      </c>
      <c r="C1204" s="113" t="s">
        <v>1304</v>
      </c>
      <c r="D1204" s="113" t="s">
        <v>1305</v>
      </c>
      <c r="E1204" s="113" t="s">
        <v>697</v>
      </c>
      <c r="F1204" s="113" t="s">
        <v>1476</v>
      </c>
      <c r="G1204" s="113" t="s">
        <v>1477</v>
      </c>
      <c r="H1204" s="113" t="s">
        <v>1478</v>
      </c>
      <c r="I1204" s="111"/>
      <c r="J1204" s="111"/>
      <c r="K1204" s="111"/>
      <c r="L1204" s="111"/>
      <c r="M1204" s="111"/>
      <c r="N1204" s="111"/>
      <c r="O1204" s="111"/>
      <c r="P1204" s="111"/>
      <c r="Q1204" s="111"/>
      <c r="R1204" s="111"/>
      <c r="S1204" s="712"/>
      <c r="T1204" s="159" t="s">
        <v>387</v>
      </c>
      <c r="U1204" s="159" t="s">
        <v>388</v>
      </c>
      <c r="V1204" s="159" t="s">
        <v>934</v>
      </c>
      <c r="W1204" s="160" t="s">
        <v>935</v>
      </c>
      <c r="X1204" s="161" t="s">
        <v>936</v>
      </c>
      <c r="Y1204" s="162" t="s">
        <v>937</v>
      </c>
      <c r="Z1204" s="161" t="s">
        <v>938</v>
      </c>
      <c r="AA1204" s="111"/>
      <c r="AB1204" s="111"/>
      <c r="AC1204" s="111"/>
      <c r="AD1204" s="111"/>
      <c r="AE1204" s="111"/>
      <c r="AF1204" s="111"/>
      <c r="AG1204" s="67"/>
    </row>
    <row r="1205" spans="1:33">
      <c r="A1205" s="134"/>
      <c r="B1205" s="153">
        <v>1</v>
      </c>
      <c r="C1205" s="153"/>
      <c r="D1205" s="121" t="s">
        <v>1647</v>
      </c>
      <c r="E1205" s="153" t="s">
        <v>949</v>
      </c>
      <c r="F1205" s="164">
        <v>10</v>
      </c>
      <c r="G1205" s="164">
        <f>'Assumptions TRC_AUN'!$J$146</f>
        <v>2200</v>
      </c>
      <c r="H1205" s="164">
        <f t="shared" ref="H1205:H1208" si="1086">$F1205*G1205</f>
        <v>22000</v>
      </c>
      <c r="I1205" s="111"/>
      <c r="J1205" s="151"/>
      <c r="K1205" s="111"/>
      <c r="L1205" s="111"/>
      <c r="M1205" s="111"/>
      <c r="N1205" s="111"/>
      <c r="O1205" s="111"/>
      <c r="P1205" s="111"/>
      <c r="Q1205" s="111"/>
      <c r="R1205" s="111"/>
      <c r="S1205" s="712"/>
      <c r="T1205" s="169" t="s">
        <v>946</v>
      </c>
      <c r="U1205" s="169" t="s">
        <v>946</v>
      </c>
      <c r="V1205" s="121" t="s">
        <v>813</v>
      </c>
      <c r="W1205" s="121" t="s">
        <v>1094</v>
      </c>
      <c r="X1205" s="170">
        <f>'Assumptions TRC_AUN'!$J$147</f>
        <v>220</v>
      </c>
      <c r="Y1205" s="200">
        <f t="shared" ref="Y1205:Y1210" si="1087">Z1205/X1205</f>
        <v>100</v>
      </c>
      <c r="Z1205" s="167">
        <f t="shared" ref="Z1205:Z1210" si="1088">H1205</f>
        <v>22000</v>
      </c>
      <c r="AA1205" s="111"/>
      <c r="AB1205" s="111"/>
      <c r="AC1205" s="111"/>
      <c r="AD1205" s="111"/>
      <c r="AE1205" s="111"/>
      <c r="AF1205" s="111"/>
      <c r="AG1205" s="67"/>
    </row>
    <row r="1206" spans="1:33">
      <c r="A1206" s="134"/>
      <c r="B1206" s="153">
        <v>2</v>
      </c>
      <c r="C1206" s="153"/>
      <c r="D1206" s="121" t="s">
        <v>1648</v>
      </c>
      <c r="E1206" s="153" t="s">
        <v>949</v>
      </c>
      <c r="F1206" s="164">
        <v>5</v>
      </c>
      <c r="G1206" s="164">
        <f>'Assumptions TRC_AUN'!$J$109</f>
        <v>40080</v>
      </c>
      <c r="H1206" s="164">
        <f t="shared" si="1086"/>
        <v>200400</v>
      </c>
      <c r="I1206" s="111"/>
      <c r="J1206" s="151"/>
      <c r="K1206" s="111"/>
      <c r="L1206" s="111"/>
      <c r="M1206" s="111"/>
      <c r="N1206" s="111"/>
      <c r="O1206" s="111"/>
      <c r="P1206" s="111"/>
      <c r="Q1206" s="111"/>
      <c r="R1206" s="111"/>
      <c r="S1206" s="712"/>
      <c r="T1206" s="169" t="s">
        <v>946</v>
      </c>
      <c r="U1206" s="169" t="s">
        <v>946</v>
      </c>
      <c r="V1206" s="121" t="s">
        <v>950</v>
      </c>
      <c r="W1206" s="121" t="s">
        <v>951</v>
      </c>
      <c r="X1206" s="170">
        <f>'Assumptions TRC_AUN'!$J$110</f>
        <v>1336</v>
      </c>
      <c r="Y1206" s="200">
        <f t="shared" si="1087"/>
        <v>150</v>
      </c>
      <c r="Z1206" s="167">
        <f t="shared" si="1088"/>
        <v>200400</v>
      </c>
      <c r="AA1206" s="111"/>
      <c r="AB1206" s="111"/>
      <c r="AC1206" s="111"/>
      <c r="AD1206" s="111"/>
      <c r="AE1206" s="111"/>
      <c r="AF1206" s="111"/>
      <c r="AG1206" s="67"/>
    </row>
    <row r="1207" spans="1:33">
      <c r="A1207" s="134"/>
      <c r="B1207" s="153">
        <v>3</v>
      </c>
      <c r="C1207" s="153"/>
      <c r="D1207" s="121" t="s">
        <v>1649</v>
      </c>
      <c r="E1207" s="153" t="s">
        <v>949</v>
      </c>
      <c r="F1207" s="164">
        <v>5</v>
      </c>
      <c r="G1207" s="164">
        <f>'Assumptions TRC_AUN'!$J$109</f>
        <v>40080</v>
      </c>
      <c r="H1207" s="164">
        <f t="shared" si="1086"/>
        <v>200400</v>
      </c>
      <c r="I1207" s="111"/>
      <c r="J1207" s="151"/>
      <c r="K1207" s="111"/>
      <c r="L1207" s="111"/>
      <c r="M1207" s="111"/>
      <c r="N1207" s="111"/>
      <c r="O1207" s="111"/>
      <c r="P1207" s="111"/>
      <c r="Q1207" s="111"/>
      <c r="R1207" s="111"/>
      <c r="S1207" s="712"/>
      <c r="T1207" s="169" t="s">
        <v>946</v>
      </c>
      <c r="U1207" s="169" t="s">
        <v>946</v>
      </c>
      <c r="V1207" s="121" t="s">
        <v>950</v>
      </c>
      <c r="W1207" s="121" t="s">
        <v>951</v>
      </c>
      <c r="X1207" s="170">
        <f>'Assumptions TRC_AUN'!$J$110</f>
        <v>1336</v>
      </c>
      <c r="Y1207" s="200">
        <f t="shared" si="1087"/>
        <v>150</v>
      </c>
      <c r="Z1207" s="167">
        <f t="shared" si="1088"/>
        <v>200400</v>
      </c>
      <c r="AA1207" s="111"/>
      <c r="AB1207" s="111"/>
      <c r="AC1207" s="111"/>
      <c r="AD1207" s="111"/>
      <c r="AE1207" s="111"/>
      <c r="AF1207" s="111"/>
      <c r="AG1207" s="67"/>
    </row>
    <row r="1208" spans="1:33">
      <c r="A1208" s="134"/>
      <c r="B1208" s="153">
        <v>4</v>
      </c>
      <c r="C1208" s="121"/>
      <c r="D1208" s="121" t="s">
        <v>1622</v>
      </c>
      <c r="E1208" s="153" t="s">
        <v>764</v>
      </c>
      <c r="F1208" s="164">
        <v>120</v>
      </c>
      <c r="G1208" s="164">
        <f>'Assumptions TRC_AUN'!$E$33</f>
        <v>3334</v>
      </c>
      <c r="H1208" s="164">
        <f t="shared" si="1086"/>
        <v>400080</v>
      </c>
      <c r="I1208" s="111"/>
      <c r="J1208" s="151"/>
      <c r="K1208" s="111"/>
      <c r="L1208" s="111"/>
      <c r="M1208" s="111"/>
      <c r="N1208" s="111"/>
      <c r="O1208" s="111"/>
      <c r="P1208" s="111"/>
      <c r="Q1208" s="111"/>
      <c r="R1208" s="111"/>
      <c r="S1208" s="712"/>
      <c r="T1208" s="169" t="s">
        <v>946</v>
      </c>
      <c r="U1208" s="169" t="s">
        <v>946</v>
      </c>
      <c r="V1208" s="121" t="s">
        <v>848</v>
      </c>
      <c r="W1208" s="164" t="s">
        <v>947</v>
      </c>
      <c r="X1208" s="170">
        <f>'Assumptions TRC_AUN'!$E$33</f>
        <v>3334</v>
      </c>
      <c r="Y1208" s="200">
        <f t="shared" si="1087"/>
        <v>120</v>
      </c>
      <c r="Z1208" s="167">
        <f t="shared" si="1088"/>
        <v>400080</v>
      </c>
      <c r="AA1208" s="111"/>
      <c r="AB1208" s="111"/>
      <c r="AC1208" s="111"/>
      <c r="AD1208" s="111"/>
      <c r="AE1208" s="111"/>
      <c r="AF1208" s="111"/>
      <c r="AG1208" s="67"/>
    </row>
    <row r="1209" spans="1:33">
      <c r="A1209" s="134"/>
      <c r="B1209" s="153">
        <v>5</v>
      </c>
      <c r="C1209" s="121" t="s">
        <v>1001</v>
      </c>
      <c r="D1209" s="121"/>
      <c r="E1209" s="153"/>
      <c r="F1209" s="164"/>
      <c r="G1209" s="164"/>
      <c r="H1209" s="164">
        <f>SUM(H1206:H1208)*10%</f>
        <v>80088</v>
      </c>
      <c r="I1209" s="111"/>
      <c r="J1209" s="151"/>
      <c r="K1209" s="111"/>
      <c r="L1209" s="111"/>
      <c r="M1209" s="111"/>
      <c r="N1209" s="111"/>
      <c r="O1209" s="111"/>
      <c r="P1209" s="111"/>
      <c r="Q1209" s="111"/>
      <c r="R1209" s="111"/>
      <c r="S1209" s="712"/>
      <c r="T1209" s="169" t="s">
        <v>946</v>
      </c>
      <c r="U1209" s="169" t="s">
        <v>946</v>
      </c>
      <c r="V1209" s="121" t="s">
        <v>875</v>
      </c>
      <c r="W1209" s="121" t="s">
        <v>961</v>
      </c>
      <c r="X1209" s="170">
        <f>'Assumptions HR_AUN'!$D$4*3</f>
        <v>88211.039066799218</v>
      </c>
      <c r="Y1209" s="200">
        <f t="shared" si="1087"/>
        <v>0.90791357688635865</v>
      </c>
      <c r="Z1209" s="167">
        <f t="shared" si="1088"/>
        <v>80088</v>
      </c>
      <c r="AA1209" s="111"/>
      <c r="AB1209" s="111"/>
      <c r="AC1209" s="111"/>
      <c r="AD1209" s="111"/>
      <c r="AE1209" s="111"/>
      <c r="AF1209" s="111"/>
      <c r="AG1209" s="67"/>
    </row>
    <row r="1210" spans="1:33">
      <c r="A1210" s="134"/>
      <c r="B1210" s="153">
        <v>6</v>
      </c>
      <c r="C1210" s="121" t="s">
        <v>962</v>
      </c>
      <c r="D1210" s="153"/>
      <c r="E1210" s="153"/>
      <c r="F1210" s="164"/>
      <c r="G1210" s="164"/>
      <c r="H1210" s="164">
        <f>SUM(H1205:H1207)*15%</f>
        <v>63420</v>
      </c>
      <c r="I1210" s="111"/>
      <c r="J1210" s="151"/>
      <c r="K1210" s="111"/>
      <c r="L1210" s="111"/>
      <c r="M1210" s="111"/>
      <c r="N1210" s="111"/>
      <c r="O1210" s="111"/>
      <c r="P1210" s="111"/>
      <c r="Q1210" s="111"/>
      <c r="R1210" s="111"/>
      <c r="S1210" s="712"/>
      <c r="T1210" s="169" t="s">
        <v>946</v>
      </c>
      <c r="U1210" s="169" t="s">
        <v>946</v>
      </c>
      <c r="V1210" s="121" t="s">
        <v>881</v>
      </c>
      <c r="W1210" s="121" t="s">
        <v>964</v>
      </c>
      <c r="X1210" s="170">
        <f>H1210/4</f>
        <v>15855</v>
      </c>
      <c r="Y1210" s="200">
        <f t="shared" si="1087"/>
        <v>4</v>
      </c>
      <c r="Z1210" s="167">
        <f t="shared" si="1088"/>
        <v>63420</v>
      </c>
      <c r="AA1210" s="111"/>
      <c r="AB1210" s="111"/>
      <c r="AC1210" s="111"/>
      <c r="AD1210" s="111"/>
      <c r="AE1210" s="111"/>
      <c r="AF1210" s="111"/>
      <c r="AG1210" s="67"/>
    </row>
    <row r="1211" spans="1:33">
      <c r="A1211" s="134"/>
      <c r="B1211" s="186"/>
      <c r="C1211" s="186" t="s">
        <v>770</v>
      </c>
      <c r="D1211" s="186"/>
      <c r="E1211" s="186"/>
      <c r="F1211" s="276"/>
      <c r="G1211" s="276"/>
      <c r="H1211" s="276">
        <f>SUM(H1205:H1210)</f>
        <v>966388</v>
      </c>
      <c r="I1211" s="111"/>
      <c r="J1211" s="111"/>
      <c r="K1211" s="111"/>
      <c r="L1211" s="111"/>
      <c r="M1211" s="111"/>
      <c r="N1211" s="111"/>
      <c r="O1211" s="111"/>
      <c r="P1211" s="111"/>
      <c r="Q1211" s="111"/>
      <c r="R1211" s="111"/>
      <c r="S1211" s="712"/>
      <c r="T1211" s="111"/>
      <c r="U1211" s="111"/>
      <c r="V1211" s="111"/>
      <c r="W1211" s="111"/>
      <c r="X1211" s="132"/>
      <c r="Y1211" s="111"/>
      <c r="Z1211" s="111"/>
      <c r="AA1211" s="111"/>
      <c r="AB1211" s="111"/>
      <c r="AC1211" s="111"/>
      <c r="AD1211" s="111"/>
      <c r="AE1211" s="111"/>
      <c r="AF1211" s="111"/>
      <c r="AG1211" s="67"/>
    </row>
    <row r="1212" spans="1:33">
      <c r="A1212" s="9"/>
      <c r="B1212" s="215"/>
      <c r="C1212" s="215"/>
      <c r="D1212" s="215"/>
      <c r="E1212" s="215"/>
      <c r="F1212" s="215"/>
      <c r="G1212" s="215"/>
      <c r="H1212" s="215"/>
      <c r="I1212" s="215"/>
      <c r="J1212" s="215"/>
      <c r="K1212" s="215"/>
      <c r="L1212" s="111"/>
      <c r="M1212" s="111"/>
      <c r="N1212" s="111"/>
      <c r="O1212" s="111"/>
      <c r="P1212" s="111"/>
      <c r="Q1212" s="111"/>
      <c r="R1212" s="111"/>
      <c r="S1212" s="712"/>
      <c r="T1212" s="111"/>
      <c r="U1212" s="111"/>
      <c r="V1212" s="111"/>
      <c r="W1212" s="111"/>
      <c r="X1212" s="132"/>
      <c r="Y1212" s="133"/>
      <c r="Z1212" s="132"/>
      <c r="AA1212" s="132"/>
      <c r="AB1212" s="133"/>
      <c r="AC1212" s="132"/>
      <c r="AD1212" s="132"/>
      <c r="AE1212" s="133"/>
      <c r="AF1212" s="132"/>
      <c r="AG1212" s="67"/>
    </row>
    <row r="1213" spans="1:33">
      <c r="A1213" s="725">
        <v>71</v>
      </c>
      <c r="B1213" s="726" t="e" vm="1">
        <f>'[2]AUN Budget'!$E$301</f>
        <v>#VALUE!</v>
      </c>
      <c r="C1213" s="731"/>
      <c r="D1213" s="731"/>
      <c r="E1213" s="731"/>
      <c r="F1213" s="731"/>
      <c r="G1213" s="731"/>
      <c r="H1213" s="731"/>
      <c r="I1213" s="731"/>
      <c r="J1213" s="731"/>
      <c r="K1213" s="731"/>
      <c r="L1213" s="731"/>
      <c r="M1213" s="111"/>
      <c r="N1213" s="111"/>
      <c r="O1213" s="111"/>
      <c r="P1213" s="111"/>
      <c r="Q1213" s="111"/>
      <c r="R1213" s="111"/>
      <c r="S1213" s="712"/>
      <c r="T1213" s="111"/>
      <c r="U1213" s="111"/>
      <c r="V1213" s="111"/>
      <c r="W1213" s="132"/>
      <c r="X1213" s="133"/>
      <c r="Y1213" s="132"/>
      <c r="Z1213" s="132"/>
      <c r="AA1213" s="133"/>
      <c r="AB1213" s="132"/>
      <c r="AC1213" s="132"/>
      <c r="AD1213" s="133"/>
      <c r="AE1213" s="132"/>
      <c r="AF1213" s="111"/>
      <c r="AG1213" s="67"/>
    </row>
    <row r="1214" spans="1:33">
      <c r="A1214" s="134"/>
      <c r="B1214" s="143" t="s">
        <v>755</v>
      </c>
      <c r="C1214" s="113" t="s">
        <v>1304</v>
      </c>
      <c r="D1214" s="113" t="s">
        <v>1305</v>
      </c>
      <c r="E1214" s="113" t="s">
        <v>697</v>
      </c>
      <c r="F1214" s="113" t="s">
        <v>1306</v>
      </c>
      <c r="G1214" s="113" t="s">
        <v>1307</v>
      </c>
      <c r="H1214" s="113" t="s">
        <v>1308</v>
      </c>
      <c r="I1214" s="113" t="s">
        <v>1309</v>
      </c>
      <c r="J1214" s="113" t="s">
        <v>972</v>
      </c>
      <c r="K1214" s="113" t="s">
        <v>973</v>
      </c>
      <c r="L1214" s="113" t="s">
        <v>974</v>
      </c>
      <c r="M1214" s="111"/>
      <c r="N1214" s="111"/>
      <c r="O1214" s="111"/>
      <c r="P1214" s="111"/>
      <c r="Q1214" s="111"/>
      <c r="R1214" s="111"/>
      <c r="S1214" s="712"/>
      <c r="T1214" s="111"/>
      <c r="U1214" s="111"/>
      <c r="V1214" s="111"/>
      <c r="W1214" s="132"/>
      <c r="X1214" s="133"/>
      <c r="Y1214" s="132"/>
      <c r="Z1214" s="132"/>
      <c r="AA1214" s="133"/>
      <c r="AB1214" s="132"/>
      <c r="AC1214" s="132"/>
      <c r="AD1214" s="133"/>
      <c r="AE1214" s="132"/>
      <c r="AF1214" s="111"/>
      <c r="AG1214" s="67"/>
    </row>
    <row r="1215" spans="1:33">
      <c r="A1215" s="134"/>
      <c r="B1215" s="153">
        <v>1</v>
      </c>
      <c r="C1215" s="153" t="s">
        <v>1310</v>
      </c>
      <c r="D1215" s="153" t="s">
        <v>1650</v>
      </c>
      <c r="E1215" s="153" t="s">
        <v>1312</v>
      </c>
      <c r="F1215" s="164">
        <v>4471</v>
      </c>
      <c r="G1215" s="164">
        <v>50</v>
      </c>
      <c r="H1215" s="164">
        <v>50</v>
      </c>
      <c r="I1215" s="164">
        <v>50</v>
      </c>
      <c r="J1215" s="164">
        <f t="shared" ref="J1215:L1215" si="1089">$F1215*G1215</f>
        <v>223550</v>
      </c>
      <c r="K1215" s="164">
        <f t="shared" si="1089"/>
        <v>223550</v>
      </c>
      <c r="L1215" s="164">
        <f t="shared" si="1089"/>
        <v>223550</v>
      </c>
      <c r="M1215" s="111"/>
      <c r="N1215" s="242"/>
      <c r="O1215" s="111"/>
      <c r="P1215" s="111"/>
      <c r="Q1215" s="111"/>
      <c r="R1215" s="111"/>
      <c r="S1215" s="712"/>
      <c r="T1215" s="111"/>
      <c r="U1215" s="111"/>
      <c r="V1215" s="111"/>
      <c r="W1215" s="132"/>
      <c r="X1215" s="133"/>
      <c r="Y1215" s="132"/>
      <c r="Z1215" s="132"/>
      <c r="AA1215" s="133"/>
      <c r="AB1215" s="132"/>
      <c r="AC1215" s="132"/>
      <c r="AD1215" s="133"/>
      <c r="AE1215" s="132"/>
      <c r="AF1215" s="111"/>
      <c r="AG1215" s="67"/>
    </row>
    <row r="1216" spans="1:33">
      <c r="A1216" s="134"/>
      <c r="B1216" s="153">
        <v>2</v>
      </c>
      <c r="C1216" s="153" t="s">
        <v>1651</v>
      </c>
      <c r="D1216" s="153" t="s">
        <v>1313</v>
      </c>
      <c r="E1216" s="153" t="s">
        <v>1312</v>
      </c>
      <c r="F1216" s="164">
        <v>248370</v>
      </c>
      <c r="G1216" s="164">
        <v>1</v>
      </c>
      <c r="H1216" s="164">
        <v>1</v>
      </c>
      <c r="I1216" s="164">
        <v>0</v>
      </c>
      <c r="J1216" s="164">
        <f t="shared" ref="J1216:L1216" si="1090">$F1216*G1216</f>
        <v>248370</v>
      </c>
      <c r="K1216" s="164">
        <f t="shared" si="1090"/>
        <v>248370</v>
      </c>
      <c r="L1216" s="164">
        <f t="shared" si="1090"/>
        <v>0</v>
      </c>
      <c r="M1216" s="111"/>
      <c r="N1216" s="242"/>
      <c r="O1216" s="111"/>
      <c r="P1216" s="111"/>
      <c r="Q1216" s="111"/>
      <c r="R1216" s="111"/>
      <c r="S1216" s="712"/>
      <c r="T1216" s="111"/>
      <c r="U1216" s="111"/>
      <c r="V1216" s="111"/>
      <c r="W1216" s="132"/>
      <c r="X1216" s="133"/>
      <c r="Y1216" s="132"/>
      <c r="Z1216" s="132"/>
      <c r="AA1216" s="133"/>
      <c r="AB1216" s="132"/>
      <c r="AC1216" s="132"/>
      <c r="AD1216" s="133"/>
      <c r="AE1216" s="132"/>
      <c r="AF1216" s="111"/>
      <c r="AG1216" s="67"/>
    </row>
    <row r="1217" spans="1:33">
      <c r="A1217" s="134"/>
      <c r="B1217" s="153">
        <v>3</v>
      </c>
      <c r="C1217" s="153" t="s">
        <v>1652</v>
      </c>
      <c r="D1217" s="153" t="s">
        <v>1315</v>
      </c>
      <c r="E1217" s="153" t="s">
        <v>1312</v>
      </c>
      <c r="F1217" s="164">
        <v>49674</v>
      </c>
      <c r="G1217" s="164">
        <v>4</v>
      </c>
      <c r="H1217" s="164">
        <v>3</v>
      </c>
      <c r="I1217" s="164">
        <v>3</v>
      </c>
      <c r="J1217" s="164">
        <f t="shared" ref="J1217:L1217" si="1091">$F1217*G1217</f>
        <v>198696</v>
      </c>
      <c r="K1217" s="164">
        <f t="shared" si="1091"/>
        <v>149022</v>
      </c>
      <c r="L1217" s="164">
        <f t="shared" si="1091"/>
        <v>149022</v>
      </c>
      <c r="M1217" s="111"/>
      <c r="N1217" s="242"/>
      <c r="O1217" s="111"/>
      <c r="P1217" s="111"/>
      <c r="Q1217" s="111"/>
      <c r="R1217" s="111"/>
      <c r="S1217" s="712"/>
      <c r="T1217" s="111"/>
      <c r="U1217" s="111"/>
      <c r="V1217" s="111"/>
      <c r="W1217" s="132"/>
      <c r="X1217" s="133"/>
      <c r="Y1217" s="132"/>
      <c r="Z1217" s="132"/>
      <c r="AA1217" s="133"/>
      <c r="AB1217" s="132"/>
      <c r="AC1217" s="132"/>
      <c r="AD1217" s="133"/>
      <c r="AE1217" s="132"/>
      <c r="AF1217" s="111"/>
      <c r="AG1217" s="67"/>
    </row>
    <row r="1218" spans="1:33">
      <c r="A1218" s="134"/>
      <c r="B1218" s="153">
        <v>4</v>
      </c>
      <c r="C1218" s="153" t="s">
        <v>1653</v>
      </c>
      <c r="D1218" s="153" t="s">
        <v>1332</v>
      </c>
      <c r="E1218" s="153" t="s">
        <v>1319</v>
      </c>
      <c r="F1218" s="164">
        <v>10</v>
      </c>
      <c r="G1218" s="164">
        <v>20000</v>
      </c>
      <c r="H1218" s="164">
        <v>20000</v>
      </c>
      <c r="I1218" s="164">
        <v>20000</v>
      </c>
      <c r="J1218" s="164">
        <f t="shared" ref="J1218:L1218" si="1092">$F1218*G1218</f>
        <v>200000</v>
      </c>
      <c r="K1218" s="164">
        <f t="shared" si="1092"/>
        <v>200000</v>
      </c>
      <c r="L1218" s="164">
        <f t="shared" si="1092"/>
        <v>200000</v>
      </c>
      <c r="M1218" s="111"/>
      <c r="N1218" s="242"/>
      <c r="O1218" s="111"/>
      <c r="P1218" s="111"/>
      <c r="Q1218" s="111"/>
      <c r="R1218" s="111"/>
      <c r="S1218" s="712"/>
      <c r="T1218" s="111"/>
      <c r="U1218" s="111"/>
      <c r="V1218" s="111"/>
      <c r="W1218" s="132"/>
      <c r="X1218" s="133"/>
      <c r="Y1218" s="132"/>
      <c r="Z1218" s="132"/>
      <c r="AA1218" s="133"/>
      <c r="AB1218" s="132"/>
      <c r="AC1218" s="132"/>
      <c r="AD1218" s="133"/>
      <c r="AE1218" s="132"/>
      <c r="AF1218" s="111"/>
      <c r="AG1218" s="67"/>
    </row>
    <row r="1219" spans="1:33">
      <c r="A1219" s="134"/>
      <c r="B1219" s="153">
        <v>5</v>
      </c>
      <c r="C1219" s="153" t="s">
        <v>1320</v>
      </c>
      <c r="D1219" s="153" t="s">
        <v>1654</v>
      </c>
      <c r="E1219" s="153" t="s">
        <v>1312</v>
      </c>
      <c r="F1219" s="164">
        <v>59609</v>
      </c>
      <c r="G1219" s="164">
        <v>2</v>
      </c>
      <c r="H1219" s="164">
        <v>2</v>
      </c>
      <c r="I1219" s="164">
        <v>2</v>
      </c>
      <c r="J1219" s="164">
        <f t="shared" ref="J1219:L1219" si="1093">$F1219*G1219</f>
        <v>119218</v>
      </c>
      <c r="K1219" s="164">
        <f t="shared" si="1093"/>
        <v>119218</v>
      </c>
      <c r="L1219" s="164">
        <f t="shared" si="1093"/>
        <v>119218</v>
      </c>
      <c r="M1219" s="111"/>
      <c r="N1219" s="242"/>
      <c r="O1219" s="111"/>
      <c r="P1219" s="111"/>
      <c r="Q1219" s="111"/>
      <c r="R1219" s="111"/>
      <c r="S1219" s="712"/>
      <c r="T1219" s="111"/>
      <c r="U1219" s="111"/>
      <c r="V1219" s="111"/>
      <c r="W1219" s="132"/>
      <c r="X1219" s="133"/>
      <c r="Y1219" s="132"/>
      <c r="Z1219" s="132"/>
      <c r="AA1219" s="133"/>
      <c r="AB1219" s="132"/>
      <c r="AC1219" s="132"/>
      <c r="AD1219" s="133"/>
      <c r="AE1219" s="132"/>
      <c r="AF1219" s="111"/>
      <c r="AG1219" s="67"/>
    </row>
    <row r="1220" spans="1:33">
      <c r="A1220" s="134"/>
      <c r="B1220" s="153">
        <v>6</v>
      </c>
      <c r="C1220" s="153" t="s">
        <v>1322</v>
      </c>
      <c r="D1220" s="153" t="s">
        <v>1655</v>
      </c>
      <c r="E1220" s="153" t="s">
        <v>1312</v>
      </c>
      <c r="F1220" s="164">
        <v>2980</v>
      </c>
      <c r="G1220" s="164">
        <v>4</v>
      </c>
      <c r="H1220" s="164">
        <v>4</v>
      </c>
      <c r="I1220" s="164">
        <v>4</v>
      </c>
      <c r="J1220" s="164">
        <f t="shared" ref="J1220:L1220" si="1094">$F1220*G1220</f>
        <v>11920</v>
      </c>
      <c r="K1220" s="164">
        <f t="shared" si="1094"/>
        <v>11920</v>
      </c>
      <c r="L1220" s="164">
        <f t="shared" si="1094"/>
        <v>11920</v>
      </c>
      <c r="M1220" s="111"/>
      <c r="N1220" s="242"/>
      <c r="O1220" s="111"/>
      <c r="P1220" s="111"/>
      <c r="Q1220" s="111"/>
      <c r="R1220" s="111"/>
      <c r="S1220" s="712"/>
      <c r="T1220" s="111"/>
      <c r="U1220" s="111"/>
      <c r="V1220" s="111"/>
      <c r="W1220" s="132"/>
      <c r="X1220" s="133"/>
      <c r="Y1220" s="132"/>
      <c r="Z1220" s="132"/>
      <c r="AA1220" s="133"/>
      <c r="AB1220" s="132"/>
      <c r="AC1220" s="132"/>
      <c r="AD1220" s="133"/>
      <c r="AE1220" s="132"/>
      <c r="AF1220" s="111"/>
      <c r="AG1220" s="67"/>
    </row>
    <row r="1221" spans="1:33">
      <c r="A1221" s="134"/>
      <c r="B1221" s="153">
        <v>7</v>
      </c>
      <c r="C1221" s="153" t="s">
        <v>1323</v>
      </c>
      <c r="D1221" s="153" t="s">
        <v>1587</v>
      </c>
      <c r="E1221" s="153" t="s">
        <v>1312</v>
      </c>
      <c r="F1221" s="164">
        <v>2484</v>
      </c>
      <c r="G1221" s="164">
        <v>50</v>
      </c>
      <c r="H1221" s="164">
        <v>50</v>
      </c>
      <c r="I1221" s="164">
        <v>50</v>
      </c>
      <c r="J1221" s="164">
        <f t="shared" ref="J1221:L1221" si="1095">$F1221*G1221</f>
        <v>124200</v>
      </c>
      <c r="K1221" s="164">
        <f t="shared" si="1095"/>
        <v>124200</v>
      </c>
      <c r="L1221" s="164">
        <f t="shared" si="1095"/>
        <v>124200</v>
      </c>
      <c r="M1221" s="111"/>
      <c r="N1221" s="242"/>
      <c r="O1221" s="111"/>
      <c r="P1221" s="111"/>
      <c r="Q1221" s="111"/>
      <c r="R1221" s="111"/>
      <c r="S1221" s="712"/>
      <c r="T1221" s="111"/>
      <c r="U1221" s="111"/>
      <c r="V1221" s="111"/>
      <c r="W1221" s="132"/>
      <c r="X1221" s="133"/>
      <c r="Y1221" s="132"/>
      <c r="Z1221" s="132"/>
      <c r="AA1221" s="133"/>
      <c r="AB1221" s="132"/>
      <c r="AC1221" s="132"/>
      <c r="AD1221" s="133"/>
      <c r="AE1221" s="132"/>
      <c r="AF1221" s="111"/>
      <c r="AG1221" s="67"/>
    </row>
    <row r="1222" spans="1:33">
      <c r="A1222" s="134"/>
      <c r="B1222" s="153">
        <v>8</v>
      </c>
      <c r="C1222" s="153" t="s">
        <v>1325</v>
      </c>
      <c r="D1222" s="153" t="s">
        <v>1656</v>
      </c>
      <c r="E1222" s="153" t="s">
        <v>1312</v>
      </c>
      <c r="F1222" s="164">
        <v>993</v>
      </c>
      <c r="G1222" s="164">
        <v>200</v>
      </c>
      <c r="H1222" s="164">
        <v>200</v>
      </c>
      <c r="I1222" s="164">
        <v>200</v>
      </c>
      <c r="J1222" s="164">
        <f t="shared" ref="J1222:L1222" si="1096">$F1222*G1222</f>
        <v>198600</v>
      </c>
      <c r="K1222" s="164">
        <f t="shared" si="1096"/>
        <v>198600</v>
      </c>
      <c r="L1222" s="164">
        <f t="shared" si="1096"/>
        <v>198600</v>
      </c>
      <c r="M1222" s="111"/>
      <c r="N1222" s="242"/>
      <c r="O1222" s="111"/>
      <c r="P1222" s="111"/>
      <c r="Q1222" s="111"/>
      <c r="R1222" s="111"/>
      <c r="S1222" s="712"/>
      <c r="T1222" s="111"/>
      <c r="U1222" s="111"/>
      <c r="V1222" s="111"/>
      <c r="W1222" s="132"/>
      <c r="X1222" s="133"/>
      <c r="Y1222" s="132"/>
      <c r="Z1222" s="132"/>
      <c r="AA1222" s="133"/>
      <c r="AB1222" s="132"/>
      <c r="AC1222" s="132"/>
      <c r="AD1222" s="133"/>
      <c r="AE1222" s="132"/>
      <c r="AF1222" s="111"/>
      <c r="AG1222" s="67"/>
    </row>
    <row r="1223" spans="1:33">
      <c r="A1223" s="134"/>
      <c r="B1223" s="153">
        <v>9</v>
      </c>
      <c r="C1223" s="153" t="s">
        <v>1326</v>
      </c>
      <c r="D1223" s="153" t="s">
        <v>1656</v>
      </c>
      <c r="E1223" s="153" t="s">
        <v>1312</v>
      </c>
      <c r="F1223" s="164">
        <v>2384</v>
      </c>
      <c r="G1223" s="164">
        <v>40</v>
      </c>
      <c r="H1223" s="164">
        <v>40</v>
      </c>
      <c r="I1223" s="164">
        <v>40</v>
      </c>
      <c r="J1223" s="164">
        <f t="shared" ref="J1223:L1223" si="1097">$F1223*G1223</f>
        <v>95360</v>
      </c>
      <c r="K1223" s="164">
        <f t="shared" si="1097"/>
        <v>95360</v>
      </c>
      <c r="L1223" s="164">
        <f t="shared" si="1097"/>
        <v>95360</v>
      </c>
      <c r="M1223" s="111"/>
      <c r="N1223" s="242"/>
      <c r="O1223" s="111"/>
      <c r="P1223" s="111"/>
      <c r="Q1223" s="111"/>
      <c r="R1223" s="111"/>
      <c r="S1223" s="712"/>
      <c r="T1223" s="111"/>
      <c r="U1223" s="111"/>
      <c r="V1223" s="111"/>
      <c r="W1223" s="132"/>
      <c r="X1223" s="133"/>
      <c r="Y1223" s="132"/>
      <c r="Z1223" s="132"/>
      <c r="AA1223" s="210"/>
      <c r="AB1223" s="132"/>
      <c r="AC1223" s="132"/>
      <c r="AD1223" s="133"/>
      <c r="AE1223" s="132"/>
      <c r="AF1223" s="111"/>
      <c r="AG1223" s="67"/>
    </row>
    <row r="1224" spans="1:33">
      <c r="A1224" s="134"/>
      <c r="B1224" s="153">
        <v>10</v>
      </c>
      <c r="C1224" s="153" t="s">
        <v>1327</v>
      </c>
      <c r="D1224" s="153" t="s">
        <v>1656</v>
      </c>
      <c r="E1224" s="153" t="s">
        <v>1312</v>
      </c>
      <c r="F1224" s="164">
        <v>99</v>
      </c>
      <c r="G1224" s="164">
        <v>4000</v>
      </c>
      <c r="H1224" s="164">
        <v>4000</v>
      </c>
      <c r="I1224" s="164">
        <v>4000</v>
      </c>
      <c r="J1224" s="164">
        <f t="shared" ref="J1224:L1224" si="1098">$F1224*G1224</f>
        <v>396000</v>
      </c>
      <c r="K1224" s="164">
        <f t="shared" si="1098"/>
        <v>396000</v>
      </c>
      <c r="L1224" s="164">
        <f t="shared" si="1098"/>
        <v>396000</v>
      </c>
      <c r="M1224" s="111"/>
      <c r="N1224" s="242"/>
      <c r="O1224" s="111"/>
      <c r="P1224" s="111"/>
      <c r="Q1224" s="111"/>
      <c r="R1224" s="111"/>
      <c r="S1224" s="712"/>
      <c r="T1224" s="111"/>
      <c r="U1224" s="111"/>
      <c r="V1224" s="111"/>
      <c r="W1224" s="132"/>
      <c r="X1224" s="133"/>
      <c r="Y1224" s="132"/>
      <c r="Z1224" s="132"/>
      <c r="AA1224" s="210"/>
      <c r="AB1224" s="132"/>
      <c r="AC1224" s="132"/>
      <c r="AD1224" s="133"/>
      <c r="AE1224" s="132"/>
      <c r="AF1224" s="111"/>
      <c r="AG1224" s="67"/>
    </row>
    <row r="1225" spans="1:33">
      <c r="A1225" s="134"/>
      <c r="B1225" s="153">
        <v>11</v>
      </c>
      <c r="C1225" s="153" t="s">
        <v>1328</v>
      </c>
      <c r="D1225" s="153" t="s">
        <v>1329</v>
      </c>
      <c r="E1225" s="153" t="s">
        <v>1312</v>
      </c>
      <c r="F1225" s="164">
        <v>248370</v>
      </c>
      <c r="G1225" s="164">
        <v>1</v>
      </c>
      <c r="H1225" s="164">
        <v>1</v>
      </c>
      <c r="I1225" s="164">
        <v>1</v>
      </c>
      <c r="J1225" s="164">
        <f t="shared" ref="J1225:L1225" si="1099">$F1225*G1225</f>
        <v>248370</v>
      </c>
      <c r="K1225" s="164">
        <f t="shared" si="1099"/>
        <v>248370</v>
      </c>
      <c r="L1225" s="164">
        <f t="shared" si="1099"/>
        <v>248370</v>
      </c>
      <c r="M1225" s="111"/>
      <c r="N1225" s="242"/>
      <c r="O1225" s="111"/>
      <c r="P1225" s="111"/>
      <c r="Q1225" s="111"/>
      <c r="R1225" s="111"/>
      <c r="S1225" s="712"/>
      <c r="T1225" s="111"/>
      <c r="U1225" s="111"/>
      <c r="V1225" s="111"/>
      <c r="W1225" s="132"/>
      <c r="X1225" s="133"/>
      <c r="Y1225" s="132"/>
      <c r="Z1225" s="132"/>
      <c r="AA1225" s="210"/>
      <c r="AB1225" s="132"/>
      <c r="AC1225" s="132"/>
      <c r="AD1225" s="133"/>
      <c r="AE1225" s="132"/>
      <c r="AF1225" s="111"/>
      <c r="AG1225" s="67"/>
    </row>
    <row r="1226" spans="1:33">
      <c r="A1226" s="134"/>
      <c r="B1226" s="153">
        <v>12</v>
      </c>
      <c r="C1226" s="153" t="s">
        <v>1330</v>
      </c>
      <c r="D1226" s="153" t="s">
        <v>1657</v>
      </c>
      <c r="E1226" s="153" t="s">
        <v>1312</v>
      </c>
      <c r="F1226" s="164">
        <v>25831</v>
      </c>
      <c r="G1226" s="164">
        <v>3</v>
      </c>
      <c r="H1226" s="164">
        <v>3</v>
      </c>
      <c r="I1226" s="164">
        <v>3</v>
      </c>
      <c r="J1226" s="164">
        <f t="shared" ref="J1226:L1226" si="1100">$F1226*G1226</f>
        <v>77493</v>
      </c>
      <c r="K1226" s="164">
        <f t="shared" si="1100"/>
        <v>77493</v>
      </c>
      <c r="L1226" s="164">
        <f t="shared" si="1100"/>
        <v>77493</v>
      </c>
      <c r="M1226" s="111"/>
      <c r="N1226" s="242"/>
      <c r="O1226" s="111"/>
      <c r="P1226" s="111"/>
      <c r="Q1226" s="111"/>
      <c r="R1226" s="111"/>
      <c r="S1226" s="712"/>
      <c r="T1226" s="111"/>
      <c r="U1226" s="111"/>
      <c r="V1226" s="111"/>
      <c r="W1226" s="132"/>
      <c r="X1226" s="133"/>
      <c r="Y1226" s="132"/>
      <c r="Z1226" s="132"/>
      <c r="AA1226" s="210"/>
      <c r="AB1226" s="132"/>
      <c r="AC1226" s="132"/>
      <c r="AD1226" s="133"/>
      <c r="AE1226" s="132"/>
      <c r="AF1226" s="111"/>
      <c r="AG1226" s="67"/>
    </row>
    <row r="1227" spans="1:33">
      <c r="A1227" s="134"/>
      <c r="B1227" s="153">
        <v>13</v>
      </c>
      <c r="C1227" s="153" t="s">
        <v>1331</v>
      </c>
      <c r="D1227" s="153" t="s">
        <v>1332</v>
      </c>
      <c r="E1227" s="153" t="s">
        <v>1312</v>
      </c>
      <c r="F1227" s="164">
        <v>14902</v>
      </c>
      <c r="G1227" s="164">
        <v>12</v>
      </c>
      <c r="H1227" s="164">
        <v>12</v>
      </c>
      <c r="I1227" s="164">
        <v>12</v>
      </c>
      <c r="J1227" s="164">
        <f t="shared" ref="J1227:L1227" si="1101">$F1227*G1227</f>
        <v>178824</v>
      </c>
      <c r="K1227" s="164">
        <f t="shared" si="1101"/>
        <v>178824</v>
      </c>
      <c r="L1227" s="164">
        <f t="shared" si="1101"/>
        <v>178824</v>
      </c>
      <c r="M1227" s="111"/>
      <c r="N1227" s="242"/>
      <c r="O1227" s="111"/>
      <c r="P1227" s="111"/>
      <c r="Q1227" s="111"/>
      <c r="R1227" s="111"/>
      <c r="S1227" s="712"/>
      <c r="T1227" s="111"/>
      <c r="U1227" s="111"/>
      <c r="V1227" s="111"/>
      <c r="W1227" s="132"/>
      <c r="X1227" s="133"/>
      <c r="Y1227" s="132"/>
      <c r="Z1227" s="132"/>
      <c r="AA1227" s="210"/>
      <c r="AB1227" s="132"/>
      <c r="AC1227" s="132"/>
      <c r="AD1227" s="133"/>
      <c r="AE1227" s="132"/>
      <c r="AF1227" s="111"/>
      <c r="AG1227" s="67"/>
    </row>
    <row r="1228" spans="1:33">
      <c r="A1228" s="134"/>
      <c r="B1228" s="153">
        <v>14</v>
      </c>
      <c r="C1228" s="153" t="s">
        <v>1333</v>
      </c>
      <c r="D1228" s="153" t="s">
        <v>1332</v>
      </c>
      <c r="E1228" s="153" t="s">
        <v>1334</v>
      </c>
      <c r="F1228" s="164">
        <v>2</v>
      </c>
      <c r="G1228" s="164">
        <v>200000</v>
      </c>
      <c r="H1228" s="164">
        <v>200000</v>
      </c>
      <c r="I1228" s="164">
        <v>200000</v>
      </c>
      <c r="J1228" s="164">
        <f t="shared" ref="J1228:L1228" si="1102">$F1228*G1228</f>
        <v>400000</v>
      </c>
      <c r="K1228" s="164">
        <f t="shared" si="1102"/>
        <v>400000</v>
      </c>
      <c r="L1228" s="164">
        <f t="shared" si="1102"/>
        <v>400000</v>
      </c>
      <c r="M1228" s="111"/>
      <c r="N1228" s="242"/>
      <c r="O1228" s="111"/>
      <c r="P1228" s="111"/>
      <c r="Q1228" s="111"/>
      <c r="R1228" s="111"/>
      <c r="S1228" s="712"/>
      <c r="T1228" s="111"/>
      <c r="U1228" s="111"/>
      <c r="V1228" s="111"/>
      <c r="W1228" s="132"/>
      <c r="X1228" s="133"/>
      <c r="Y1228" s="132"/>
      <c r="Z1228" s="132"/>
      <c r="AA1228" s="210"/>
      <c r="AB1228" s="132"/>
      <c r="AC1228" s="132"/>
      <c r="AD1228" s="133"/>
      <c r="AE1228" s="132"/>
      <c r="AF1228" s="111"/>
      <c r="AG1228" s="67"/>
    </row>
    <row r="1229" spans="1:33">
      <c r="A1229" s="134"/>
      <c r="B1229" s="153">
        <v>15</v>
      </c>
      <c r="C1229" s="153" t="s">
        <v>1335</v>
      </c>
      <c r="D1229" s="153" t="s">
        <v>1332</v>
      </c>
      <c r="E1229" s="153" t="s">
        <v>1312</v>
      </c>
      <c r="F1229" s="164">
        <v>99348</v>
      </c>
      <c r="G1229" s="164">
        <v>0</v>
      </c>
      <c r="H1229" s="164">
        <v>0</v>
      </c>
      <c r="I1229" s="164">
        <v>1</v>
      </c>
      <c r="J1229" s="164">
        <f t="shared" ref="J1229:L1229" si="1103">$F1229*G1229</f>
        <v>0</v>
      </c>
      <c r="K1229" s="164">
        <f t="shared" si="1103"/>
        <v>0</v>
      </c>
      <c r="L1229" s="164">
        <f t="shared" si="1103"/>
        <v>99348</v>
      </c>
      <c r="M1229" s="111"/>
      <c r="N1229" s="242"/>
      <c r="O1229" s="111"/>
      <c r="P1229" s="111"/>
      <c r="Q1229" s="111"/>
      <c r="R1229" s="111"/>
      <c r="S1229" s="712"/>
      <c r="T1229" s="111"/>
      <c r="U1229" s="111"/>
      <c r="V1229" s="111"/>
      <c r="W1229" s="132"/>
      <c r="X1229" s="133"/>
      <c r="Y1229" s="132"/>
      <c r="Z1229" s="132"/>
      <c r="AA1229" s="210"/>
      <c r="AB1229" s="132"/>
      <c r="AC1229" s="132"/>
      <c r="AD1229" s="133"/>
      <c r="AE1229" s="132"/>
      <c r="AF1229" s="111"/>
      <c r="AG1229" s="67"/>
    </row>
    <row r="1230" spans="1:33">
      <c r="A1230" s="134"/>
      <c r="B1230" s="153">
        <v>16</v>
      </c>
      <c r="C1230" s="153" t="s">
        <v>1336</v>
      </c>
      <c r="D1230" s="153" t="s">
        <v>1332</v>
      </c>
      <c r="E1230" s="153" t="s">
        <v>1337</v>
      </c>
      <c r="F1230" s="164">
        <v>1292</v>
      </c>
      <c r="G1230" s="164">
        <v>12</v>
      </c>
      <c r="H1230" s="164">
        <v>12</v>
      </c>
      <c r="I1230" s="164">
        <v>12</v>
      </c>
      <c r="J1230" s="164">
        <f t="shared" ref="J1230:L1230" si="1104">$F1230*G1230</f>
        <v>15504</v>
      </c>
      <c r="K1230" s="164">
        <f t="shared" si="1104"/>
        <v>15504</v>
      </c>
      <c r="L1230" s="164">
        <f t="shared" si="1104"/>
        <v>15504</v>
      </c>
      <c r="M1230" s="111"/>
      <c r="N1230" s="242"/>
      <c r="O1230" s="111"/>
      <c r="P1230" s="111"/>
      <c r="Q1230" s="111"/>
      <c r="R1230" s="111"/>
      <c r="S1230" s="712"/>
      <c r="T1230" s="111"/>
      <c r="U1230" s="111"/>
      <c r="V1230" s="111"/>
      <c r="W1230" s="132"/>
      <c r="X1230" s="133"/>
      <c r="Y1230" s="132"/>
      <c r="Z1230" s="132"/>
      <c r="AA1230" s="210"/>
      <c r="AB1230" s="132"/>
      <c r="AC1230" s="132"/>
      <c r="AD1230" s="133"/>
      <c r="AE1230" s="132"/>
      <c r="AF1230" s="111"/>
      <c r="AG1230" s="67"/>
    </row>
    <row r="1231" spans="1:33">
      <c r="A1231" s="134"/>
      <c r="B1231" s="153">
        <v>17</v>
      </c>
      <c r="C1231" s="153" t="s">
        <v>1338</v>
      </c>
      <c r="D1231" s="153" t="s">
        <v>1339</v>
      </c>
      <c r="E1231" s="153" t="s">
        <v>1312</v>
      </c>
      <c r="F1231" s="194"/>
      <c r="G1231" s="164">
        <v>1</v>
      </c>
      <c r="H1231" s="164">
        <v>0</v>
      </c>
      <c r="I1231" s="164">
        <v>0</v>
      </c>
      <c r="J1231" s="164">
        <f t="shared" ref="J1231:L1231" si="1105">$F1231*G1231</f>
        <v>0</v>
      </c>
      <c r="K1231" s="164">
        <f t="shared" si="1105"/>
        <v>0</v>
      </c>
      <c r="L1231" s="164">
        <f t="shared" si="1105"/>
        <v>0</v>
      </c>
      <c r="M1231" s="111"/>
      <c r="N1231" s="242"/>
      <c r="O1231" s="111"/>
      <c r="P1231" s="111"/>
      <c r="Q1231" s="111"/>
      <c r="R1231" s="111"/>
      <c r="S1231" s="712"/>
      <c r="T1231" s="111"/>
      <c r="U1231" s="111"/>
      <c r="V1231" s="111"/>
      <c r="W1231" s="132"/>
      <c r="X1231" s="133"/>
      <c r="Y1231" s="132"/>
      <c r="Z1231" s="132"/>
      <c r="AA1231" s="210"/>
      <c r="AB1231" s="132"/>
      <c r="AC1231" s="132"/>
      <c r="AD1231" s="133"/>
      <c r="AE1231" s="132"/>
      <c r="AF1231" s="111"/>
      <c r="AG1231" s="67"/>
    </row>
    <row r="1232" spans="1:33">
      <c r="A1232" s="134"/>
      <c r="B1232" s="153">
        <v>18</v>
      </c>
      <c r="C1232" s="153" t="s">
        <v>1658</v>
      </c>
      <c r="D1232" s="153" t="s">
        <v>1342</v>
      </c>
      <c r="E1232" s="153" t="s">
        <v>1343</v>
      </c>
      <c r="F1232" s="194">
        <f>'Assumptions TRC_AUN'!$E$33</f>
        <v>3334</v>
      </c>
      <c r="G1232" s="164">
        <v>35</v>
      </c>
      <c r="H1232" s="164">
        <v>0</v>
      </c>
      <c r="I1232" s="164">
        <v>0</v>
      </c>
      <c r="J1232" s="164">
        <f t="shared" ref="J1232:L1232" si="1106">$F1232*G1232</f>
        <v>116690</v>
      </c>
      <c r="K1232" s="164">
        <f t="shared" si="1106"/>
        <v>0</v>
      </c>
      <c r="L1232" s="164">
        <f t="shared" si="1106"/>
        <v>0</v>
      </c>
      <c r="M1232" s="132"/>
      <c r="N1232" s="242"/>
      <c r="O1232" s="111"/>
      <c r="P1232" s="111"/>
      <c r="Q1232" s="111"/>
      <c r="R1232" s="111"/>
      <c r="S1232" s="712"/>
      <c r="T1232" s="111"/>
      <c r="U1232" s="111"/>
      <c r="V1232" s="111"/>
      <c r="W1232" s="132"/>
      <c r="X1232" s="133"/>
      <c r="Y1232" s="132"/>
      <c r="Z1232" s="132"/>
      <c r="AA1232" s="132"/>
      <c r="AB1232" s="132"/>
      <c r="AC1232" s="132"/>
      <c r="AD1232" s="133"/>
      <c r="AE1232" s="132"/>
      <c r="AF1232" s="111"/>
      <c r="AG1232" s="67"/>
    </row>
    <row r="1233" spans="1:33">
      <c r="A1233" s="134"/>
      <c r="B1233" s="153">
        <v>19</v>
      </c>
      <c r="C1233" s="153" t="s">
        <v>1341</v>
      </c>
      <c r="D1233" s="153" t="s">
        <v>1342</v>
      </c>
      <c r="E1233" s="153" t="s">
        <v>1343</v>
      </c>
      <c r="F1233" s="194">
        <f>'Assumptions TRC_AUN'!$E$33</f>
        <v>3334</v>
      </c>
      <c r="G1233" s="164">
        <v>60</v>
      </c>
      <c r="H1233" s="164">
        <v>60</v>
      </c>
      <c r="I1233" s="164">
        <v>55</v>
      </c>
      <c r="J1233" s="164">
        <f t="shared" ref="J1233:L1233" si="1107">$F1233*G1233</f>
        <v>200040</v>
      </c>
      <c r="K1233" s="164">
        <f t="shared" si="1107"/>
        <v>200040</v>
      </c>
      <c r="L1233" s="164">
        <f t="shared" si="1107"/>
        <v>183370</v>
      </c>
      <c r="M1233" s="132"/>
      <c r="N1233" s="242"/>
      <c r="O1233" s="111"/>
      <c r="P1233" s="111"/>
      <c r="Q1233" s="111"/>
      <c r="R1233" s="111"/>
      <c r="S1233" s="712"/>
      <c r="T1233" s="111"/>
      <c r="U1233" s="111"/>
      <c r="V1233" s="111"/>
      <c r="W1233" s="132"/>
      <c r="X1233" s="133"/>
      <c r="Y1233" s="132"/>
      <c r="Z1233" s="132"/>
      <c r="AA1233" s="132"/>
      <c r="AB1233" s="132"/>
      <c r="AC1233" s="132"/>
      <c r="AD1233" s="133"/>
      <c r="AE1233" s="132"/>
      <c r="AF1233" s="111"/>
      <c r="AG1233" s="67"/>
    </row>
    <row r="1234" spans="1:33">
      <c r="A1234" s="134"/>
      <c r="B1234" s="153">
        <v>20</v>
      </c>
      <c r="C1234" s="153" t="s">
        <v>1344</v>
      </c>
      <c r="D1234" s="153" t="s">
        <v>1342</v>
      </c>
      <c r="E1234" s="153" t="s">
        <v>1343</v>
      </c>
      <c r="F1234" s="194">
        <f>'Assumptions TRC_AUN'!$E$33</f>
        <v>3334</v>
      </c>
      <c r="G1234" s="164">
        <v>0</v>
      </c>
      <c r="H1234" s="164">
        <v>25</v>
      </c>
      <c r="I1234" s="164">
        <v>20</v>
      </c>
      <c r="J1234" s="164">
        <f t="shared" ref="J1234:L1234" si="1108">$F1234*G1234</f>
        <v>0</v>
      </c>
      <c r="K1234" s="164">
        <f t="shared" si="1108"/>
        <v>83350</v>
      </c>
      <c r="L1234" s="164">
        <f t="shared" si="1108"/>
        <v>66680</v>
      </c>
      <c r="M1234" s="132"/>
      <c r="N1234" s="242"/>
      <c r="O1234" s="111"/>
      <c r="P1234" s="210">
        <f>SUM('Assumptions Other_AUN'!Y3669)</f>
        <v>0</v>
      </c>
      <c r="Q1234" s="111"/>
      <c r="R1234" s="111"/>
      <c r="S1234" s="712"/>
      <c r="T1234" s="111"/>
      <c r="U1234" s="111"/>
      <c r="V1234" s="111"/>
      <c r="W1234" s="132"/>
      <c r="X1234" s="133"/>
      <c r="Y1234" s="132"/>
      <c r="Z1234" s="132"/>
      <c r="AA1234" s="132"/>
      <c r="AB1234" s="132"/>
      <c r="AC1234" s="132"/>
      <c r="AD1234" s="133"/>
      <c r="AE1234" s="132"/>
      <c r="AF1234" s="111"/>
      <c r="AG1234" s="67"/>
    </row>
    <row r="1235" spans="1:33">
      <c r="A1235" s="134"/>
      <c r="B1235" s="186"/>
      <c r="C1235" s="186" t="s">
        <v>770</v>
      </c>
      <c r="D1235" s="186"/>
      <c r="E1235" s="186"/>
      <c r="F1235" s="276"/>
      <c r="G1235" s="276"/>
      <c r="H1235" s="276"/>
      <c r="I1235" s="276"/>
      <c r="J1235" s="276">
        <f t="shared" ref="J1235:L1235" si="1109">SUM(J1215:J1234)</f>
        <v>3052835</v>
      </c>
      <c r="K1235" s="276">
        <f t="shared" si="1109"/>
        <v>2969821</v>
      </c>
      <c r="L1235" s="276">
        <f t="shared" si="1109"/>
        <v>2787459</v>
      </c>
      <c r="M1235" s="111"/>
      <c r="N1235" s="111"/>
      <c r="O1235" s="111"/>
      <c r="P1235" s="111"/>
      <c r="Q1235" s="111"/>
      <c r="R1235" s="111"/>
      <c r="S1235" s="712"/>
      <c r="T1235" s="111"/>
      <c r="U1235" s="111"/>
      <c r="V1235" s="111"/>
      <c r="W1235" s="132"/>
      <c r="X1235" s="133"/>
      <c r="Y1235" s="132"/>
      <c r="Z1235" s="132"/>
      <c r="AA1235" s="133"/>
      <c r="AB1235" s="132"/>
      <c r="AC1235" s="132"/>
      <c r="AD1235" s="133"/>
      <c r="AE1235" s="132"/>
      <c r="AF1235" s="111"/>
      <c r="AG1235" s="67"/>
    </row>
    <row r="1236" spans="1:33">
      <c r="A1236" s="9"/>
      <c r="B1236" s="215"/>
      <c r="C1236" s="215"/>
      <c r="D1236" s="215"/>
      <c r="E1236" s="215"/>
      <c r="F1236" s="215"/>
      <c r="G1236" s="215"/>
      <c r="H1236" s="215"/>
      <c r="I1236" s="215"/>
      <c r="J1236" s="215"/>
      <c r="K1236" s="215"/>
      <c r="L1236" s="111"/>
      <c r="M1236" s="111"/>
      <c r="N1236" s="111"/>
      <c r="O1236" s="111"/>
      <c r="P1236" s="111"/>
      <c r="Q1236" s="111"/>
      <c r="R1236" s="111"/>
      <c r="S1236" s="712"/>
      <c r="T1236" s="111"/>
      <c r="U1236" s="111"/>
      <c r="V1236" s="111"/>
      <c r="W1236" s="111"/>
      <c r="X1236" s="132"/>
      <c r="Y1236" s="133"/>
      <c r="Z1236" s="132"/>
      <c r="AA1236" s="132"/>
      <c r="AB1236" s="133"/>
      <c r="AC1236" s="132"/>
      <c r="AD1236" s="132"/>
      <c r="AE1236" s="133"/>
      <c r="AF1236" s="132"/>
      <c r="AG1236" s="67"/>
    </row>
    <row r="1237" spans="1:33">
      <c r="A1237" s="9"/>
      <c r="B1237" s="215"/>
      <c r="C1237" s="215"/>
      <c r="D1237" s="215"/>
      <c r="E1237" s="215"/>
      <c r="F1237" s="215"/>
      <c r="G1237" s="215"/>
      <c r="H1237" s="215"/>
      <c r="I1237" s="215"/>
      <c r="J1237" s="215"/>
      <c r="K1237" s="215"/>
      <c r="L1237" s="111"/>
      <c r="M1237" s="111"/>
      <c r="N1237" s="111"/>
      <c r="O1237" s="111"/>
      <c r="P1237" s="111"/>
      <c r="Q1237" s="111"/>
      <c r="R1237" s="111"/>
      <c r="S1237" s="712"/>
      <c r="T1237" s="111"/>
      <c r="U1237" s="111"/>
      <c r="V1237" s="111"/>
      <c r="W1237" s="111"/>
      <c r="X1237" s="132"/>
      <c r="Y1237" s="133"/>
      <c r="Z1237" s="132"/>
      <c r="AA1237" s="132"/>
      <c r="AB1237" s="133"/>
      <c r="AC1237" s="132"/>
      <c r="AD1237" s="132"/>
      <c r="AE1237" s="133"/>
      <c r="AF1237" s="132"/>
      <c r="AG1237" s="67"/>
    </row>
    <row r="1238" spans="1:33">
      <c r="A1238" s="725">
        <v>72</v>
      </c>
      <c r="B1238" s="726" t="e" vm="1">
        <f>'[2]AUN Budget'!E333</f>
        <v>#VALUE!</v>
      </c>
      <c r="C1238" s="731"/>
      <c r="D1238" s="731"/>
      <c r="E1238" s="731"/>
      <c r="F1238" s="731"/>
      <c r="G1238" s="731"/>
      <c r="H1238" s="731"/>
      <c r="I1238" s="111"/>
      <c r="J1238" s="111"/>
      <c r="K1238" s="111"/>
      <c r="L1238" s="111"/>
      <c r="M1238" s="111"/>
      <c r="N1238" s="111"/>
      <c r="O1238" s="111"/>
      <c r="P1238" s="111"/>
      <c r="Q1238" s="111"/>
      <c r="R1238" s="111"/>
      <c r="S1238" s="712"/>
      <c r="T1238" s="111"/>
      <c r="U1238" s="111"/>
      <c r="V1238" s="111"/>
      <c r="W1238" s="111"/>
      <c r="X1238" s="132"/>
      <c r="Y1238" s="111"/>
      <c r="Z1238" s="111"/>
      <c r="AA1238" s="111"/>
      <c r="AB1238" s="111"/>
      <c r="AC1238" s="111"/>
      <c r="AD1238" s="111"/>
      <c r="AE1238" s="111"/>
      <c r="AF1238" s="111"/>
      <c r="AG1238" s="67"/>
    </row>
    <row r="1239" spans="1:33">
      <c r="A1239" s="134" t="s">
        <v>156</v>
      </c>
      <c r="B1239" s="143" t="s">
        <v>755</v>
      </c>
      <c r="C1239" s="113" t="s">
        <v>1304</v>
      </c>
      <c r="D1239" s="113" t="s">
        <v>1305</v>
      </c>
      <c r="E1239" s="113" t="s">
        <v>697</v>
      </c>
      <c r="F1239" s="113" t="s">
        <v>1476</v>
      </c>
      <c r="G1239" s="113" t="s">
        <v>1477</v>
      </c>
      <c r="H1239" s="113" t="s">
        <v>1478</v>
      </c>
      <c r="I1239" s="227" t="s">
        <v>974</v>
      </c>
      <c r="J1239" s="111"/>
      <c r="K1239" s="111"/>
      <c r="L1239" s="111"/>
      <c r="M1239" s="111"/>
      <c r="N1239" s="111"/>
      <c r="O1239" s="111"/>
      <c r="P1239" s="111"/>
      <c r="Q1239" s="111"/>
      <c r="R1239" s="111"/>
      <c r="S1239" s="712"/>
      <c r="T1239" s="159" t="s">
        <v>387</v>
      </c>
      <c r="U1239" s="159" t="s">
        <v>388</v>
      </c>
      <c r="V1239" s="159" t="s">
        <v>934</v>
      </c>
      <c r="W1239" s="160" t="s">
        <v>935</v>
      </c>
      <c r="X1239" s="161" t="s">
        <v>936</v>
      </c>
      <c r="Y1239" s="162" t="s">
        <v>937</v>
      </c>
      <c r="Z1239" s="161" t="s">
        <v>938</v>
      </c>
      <c r="AA1239" s="111"/>
      <c r="AB1239" s="111"/>
      <c r="AC1239" s="111"/>
      <c r="AD1239" s="111"/>
      <c r="AE1239" s="111"/>
      <c r="AF1239" s="111"/>
      <c r="AG1239" s="67"/>
    </row>
    <row r="1240" spans="1:33">
      <c r="A1240" s="134"/>
      <c r="B1240" s="153">
        <v>1</v>
      </c>
      <c r="C1240" s="153"/>
      <c r="D1240" s="121" t="s">
        <v>1659</v>
      </c>
      <c r="E1240" s="153" t="s">
        <v>949</v>
      </c>
      <c r="F1240" s="164">
        <v>10</v>
      </c>
      <c r="G1240" s="164">
        <f>'Assumptions TRC_AUN'!$J$109</f>
        <v>40080</v>
      </c>
      <c r="H1240" s="164">
        <f t="shared" ref="H1240:H1241" si="1110">$F1240*G1240</f>
        <v>400800</v>
      </c>
      <c r="I1240" s="227">
        <v>84680</v>
      </c>
      <c r="J1240" s="151"/>
      <c r="K1240" s="111"/>
      <c r="L1240" s="111"/>
      <c r="M1240" s="111"/>
      <c r="N1240" s="111"/>
      <c r="O1240" s="111"/>
      <c r="P1240" s="111"/>
      <c r="Q1240" s="111"/>
      <c r="R1240" s="111"/>
      <c r="S1240" s="712"/>
      <c r="T1240" s="169" t="s">
        <v>946</v>
      </c>
      <c r="U1240" s="169" t="s">
        <v>946</v>
      </c>
      <c r="V1240" s="121" t="s">
        <v>950</v>
      </c>
      <c r="W1240" s="121" t="s">
        <v>951</v>
      </c>
      <c r="X1240" s="170">
        <f>'Assumptions TRC_AUN'!$J$110</f>
        <v>1336</v>
      </c>
      <c r="Y1240" s="200">
        <f t="shared" ref="Y1240:Y1241" si="1111">Z1240/X1240</f>
        <v>300</v>
      </c>
      <c r="Z1240" s="167">
        <f t="shared" ref="Z1240:Z1241" si="1112">H1240</f>
        <v>400800</v>
      </c>
      <c r="AA1240" s="111"/>
      <c r="AB1240" s="111"/>
      <c r="AC1240" s="111"/>
      <c r="AD1240" s="111"/>
      <c r="AE1240" s="111"/>
      <c r="AF1240" s="111"/>
      <c r="AG1240" s="67"/>
    </row>
    <row r="1241" spans="1:33">
      <c r="A1241" s="134"/>
      <c r="B1241" s="153">
        <v>2</v>
      </c>
      <c r="C1241" s="121"/>
      <c r="D1241" s="121" t="s">
        <v>1622</v>
      </c>
      <c r="E1241" s="153" t="s">
        <v>764</v>
      </c>
      <c r="F1241" s="164">
        <v>120</v>
      </c>
      <c r="G1241" s="164">
        <f>'Assumptions TRC_AUN'!$E$33</f>
        <v>3334</v>
      </c>
      <c r="H1241" s="164">
        <f t="shared" si="1110"/>
        <v>400080</v>
      </c>
      <c r="I1241" s="227">
        <v>552100</v>
      </c>
      <c r="J1241" s="151"/>
      <c r="K1241" s="111"/>
      <c r="L1241" s="111"/>
      <c r="M1241" s="111"/>
      <c r="N1241" s="111"/>
      <c r="O1241" s="111"/>
      <c r="P1241" s="111"/>
      <c r="Q1241" s="111"/>
      <c r="R1241" s="111"/>
      <c r="S1241" s="712"/>
      <c r="T1241" s="169" t="s">
        <v>946</v>
      </c>
      <c r="U1241" s="169" t="s">
        <v>946</v>
      </c>
      <c r="V1241" s="121" t="s">
        <v>848</v>
      </c>
      <c r="W1241" s="164" t="s">
        <v>947</v>
      </c>
      <c r="X1241" s="170">
        <f>'Assumptions TRC_AUN'!$E$33</f>
        <v>3334</v>
      </c>
      <c r="Y1241" s="200">
        <f t="shared" si="1111"/>
        <v>120</v>
      </c>
      <c r="Z1241" s="167">
        <f t="shared" si="1112"/>
        <v>400080</v>
      </c>
      <c r="AA1241" s="111"/>
      <c r="AB1241" s="111"/>
      <c r="AC1241" s="111"/>
      <c r="AD1241" s="111"/>
      <c r="AE1241" s="111"/>
      <c r="AF1241" s="111"/>
      <c r="AG1241" s="67"/>
    </row>
    <row r="1242" spans="1:33">
      <c r="A1242" s="134"/>
      <c r="B1242" s="153"/>
      <c r="C1242" s="121"/>
      <c r="D1242" s="227" t="s">
        <v>1660</v>
      </c>
      <c r="E1242" s="153"/>
      <c r="F1242" s="164"/>
      <c r="G1242" s="164"/>
      <c r="H1242" s="164"/>
      <c r="I1242" s="227">
        <v>110600</v>
      </c>
      <c r="J1242" s="151"/>
      <c r="K1242" s="111"/>
      <c r="L1242" s="111"/>
      <c r="M1242" s="111"/>
      <c r="N1242" s="111"/>
      <c r="O1242" s="111"/>
      <c r="P1242" s="111"/>
      <c r="Q1242" s="111"/>
      <c r="R1242" s="111"/>
      <c r="S1242" s="712"/>
      <c r="T1242" s="169"/>
      <c r="U1242" s="169"/>
      <c r="V1242" s="121"/>
      <c r="W1242" s="121"/>
      <c r="X1242" s="170"/>
      <c r="Y1242" s="200"/>
      <c r="Z1242" s="167"/>
      <c r="AA1242" s="111"/>
      <c r="AB1242" s="111"/>
      <c r="AC1242" s="111"/>
      <c r="AD1242" s="111"/>
      <c r="AE1242" s="111"/>
      <c r="AF1242" s="111"/>
      <c r="AG1242" s="67"/>
    </row>
    <row r="1243" spans="1:33">
      <c r="A1243" s="134"/>
      <c r="B1243" s="153"/>
      <c r="C1243" s="121"/>
      <c r="D1243" s="227" t="s">
        <v>1661</v>
      </c>
      <c r="E1243" s="153"/>
      <c r="F1243" s="164"/>
      <c r="G1243" s="164"/>
      <c r="H1243" s="164"/>
      <c r="I1243" s="227">
        <v>106000</v>
      </c>
      <c r="J1243" s="151"/>
      <c r="K1243" s="111"/>
      <c r="L1243" s="111"/>
      <c r="M1243" s="111"/>
      <c r="N1243" s="111"/>
      <c r="O1243" s="111"/>
      <c r="P1243" s="111"/>
      <c r="Q1243" s="111"/>
      <c r="R1243" s="111"/>
      <c r="S1243" s="712"/>
      <c r="T1243" s="169"/>
      <c r="U1243" s="169"/>
      <c r="V1243" s="121"/>
      <c r="W1243" s="121"/>
      <c r="X1243" s="170"/>
      <c r="Y1243" s="200"/>
      <c r="Z1243" s="167"/>
      <c r="AA1243" s="111"/>
      <c r="AB1243" s="111"/>
      <c r="AC1243" s="111"/>
      <c r="AD1243" s="111"/>
      <c r="AE1243" s="111"/>
      <c r="AF1243" s="111"/>
      <c r="AG1243" s="67"/>
    </row>
    <row r="1244" spans="1:33">
      <c r="A1244" s="134"/>
      <c r="B1244" s="153">
        <v>3</v>
      </c>
      <c r="C1244" s="121" t="s">
        <v>1001</v>
      </c>
      <c r="D1244" s="121"/>
      <c r="E1244" s="153"/>
      <c r="F1244" s="164"/>
      <c r="G1244" s="164"/>
      <c r="H1244" s="164">
        <f>SUM(H1240:H1241)*10%</f>
        <v>80088</v>
      </c>
      <c r="I1244" s="227">
        <v>75000</v>
      </c>
      <c r="J1244" s="151"/>
      <c r="K1244" s="111"/>
      <c r="L1244" s="111"/>
      <c r="M1244" s="111"/>
      <c r="N1244" s="111"/>
      <c r="O1244" s="111"/>
      <c r="P1244" s="111"/>
      <c r="Q1244" s="111"/>
      <c r="R1244" s="111"/>
      <c r="S1244" s="712"/>
      <c r="T1244" s="169" t="s">
        <v>946</v>
      </c>
      <c r="U1244" s="169" t="s">
        <v>946</v>
      </c>
      <c r="V1244" s="121" t="s">
        <v>875</v>
      </c>
      <c r="W1244" s="121" t="s">
        <v>961</v>
      </c>
      <c r="X1244" s="170">
        <f>'Assumptions HR_AUN'!$D$4*3</f>
        <v>88211.039066799218</v>
      </c>
      <c r="Y1244" s="200">
        <f t="shared" ref="Y1244:Y1245" si="1113">Z1244/X1244</f>
        <v>0.90791357688635865</v>
      </c>
      <c r="Z1244" s="167">
        <f t="shared" ref="Z1244:Z1245" si="1114">H1244</f>
        <v>80088</v>
      </c>
      <c r="AA1244" s="111"/>
      <c r="AB1244" s="111"/>
      <c r="AC1244" s="111"/>
      <c r="AD1244" s="111"/>
      <c r="AE1244" s="111"/>
      <c r="AF1244" s="111"/>
      <c r="AG1244" s="67"/>
    </row>
    <row r="1245" spans="1:33">
      <c r="A1245" s="134"/>
      <c r="B1245" s="153">
        <v>4</v>
      </c>
      <c r="C1245" s="121" t="s">
        <v>962</v>
      </c>
      <c r="D1245" s="153"/>
      <c r="E1245" s="153"/>
      <c r="F1245" s="164"/>
      <c r="G1245" s="164"/>
      <c r="H1245" s="164">
        <f>SUM(H1240)*15%</f>
        <v>60120</v>
      </c>
      <c r="I1245" s="227">
        <v>12650</v>
      </c>
      <c r="J1245" s="151"/>
      <c r="K1245" s="111"/>
      <c r="L1245" s="111"/>
      <c r="M1245" s="111"/>
      <c r="N1245" s="111"/>
      <c r="O1245" s="111"/>
      <c r="P1245" s="111"/>
      <c r="Q1245" s="111"/>
      <c r="R1245" s="111"/>
      <c r="S1245" s="712"/>
      <c r="T1245" s="169" t="s">
        <v>946</v>
      </c>
      <c r="U1245" s="169" t="s">
        <v>946</v>
      </c>
      <c r="V1245" s="121" t="s">
        <v>881</v>
      </c>
      <c r="W1245" s="121" t="s">
        <v>964</v>
      </c>
      <c r="X1245" s="170">
        <f>H1245/4</f>
        <v>15030</v>
      </c>
      <c r="Y1245" s="200">
        <f t="shared" si="1113"/>
        <v>4</v>
      </c>
      <c r="Z1245" s="167">
        <f t="shared" si="1114"/>
        <v>60120</v>
      </c>
      <c r="AA1245" s="111"/>
      <c r="AB1245" s="111"/>
      <c r="AC1245" s="111"/>
      <c r="AD1245" s="111"/>
      <c r="AE1245" s="111"/>
      <c r="AF1245" s="111"/>
      <c r="AG1245" s="67"/>
    </row>
    <row r="1246" spans="1:33">
      <c r="A1246" s="134"/>
      <c r="B1246" s="186"/>
      <c r="C1246" s="186" t="s">
        <v>770</v>
      </c>
      <c r="D1246" s="186"/>
      <c r="E1246" s="186"/>
      <c r="F1246" s="276"/>
      <c r="G1246" s="276"/>
      <c r="H1246" s="276">
        <f t="shared" ref="H1246:I1246" si="1115">SUM(H1240:H1245)</f>
        <v>941088</v>
      </c>
      <c r="I1246" s="227">
        <f t="shared" si="1115"/>
        <v>941030</v>
      </c>
      <c r="J1246" s="111"/>
      <c r="K1246" s="111"/>
      <c r="L1246" s="111"/>
      <c r="M1246" s="111"/>
      <c r="N1246" s="111"/>
      <c r="O1246" s="111"/>
      <c r="P1246" s="111"/>
      <c r="Q1246" s="111"/>
      <c r="R1246" s="111"/>
      <c r="S1246" s="712"/>
      <c r="T1246" s="111"/>
      <c r="U1246" s="111"/>
      <c r="V1246" s="111"/>
      <c r="W1246" s="111"/>
      <c r="X1246" s="132"/>
      <c r="Y1246" s="111"/>
      <c r="Z1246" s="111"/>
      <c r="AA1246" s="111"/>
      <c r="AB1246" s="111"/>
      <c r="AC1246" s="111"/>
      <c r="AD1246" s="111"/>
      <c r="AE1246" s="111"/>
      <c r="AF1246" s="111"/>
      <c r="AG1246" s="67"/>
    </row>
    <row r="1247" spans="1:33">
      <c r="A1247" s="9"/>
      <c r="B1247" s="215"/>
      <c r="C1247" s="215"/>
      <c r="D1247" s="215"/>
      <c r="E1247" s="215"/>
      <c r="F1247" s="215"/>
      <c r="G1247" s="215"/>
      <c r="H1247" s="215"/>
      <c r="I1247" s="215"/>
      <c r="J1247" s="215"/>
      <c r="K1247" s="215"/>
      <c r="L1247" s="111"/>
      <c r="M1247" s="111"/>
      <c r="N1247" s="111"/>
      <c r="O1247" s="111"/>
      <c r="P1247" s="111"/>
      <c r="Q1247" s="111"/>
      <c r="R1247" s="111"/>
      <c r="S1247" s="712"/>
      <c r="T1247" s="111"/>
      <c r="U1247" s="111"/>
      <c r="V1247" s="111"/>
      <c r="W1247" s="111"/>
      <c r="X1247" s="132"/>
      <c r="Y1247" s="133"/>
      <c r="Z1247" s="132"/>
      <c r="AA1247" s="132"/>
      <c r="AB1247" s="133"/>
      <c r="AC1247" s="132"/>
      <c r="AD1247" s="132"/>
      <c r="AE1247" s="133"/>
      <c r="AF1247" s="132"/>
      <c r="AG1247" s="67"/>
    </row>
    <row r="1248" spans="1:33">
      <c r="A1248" s="9"/>
      <c r="B1248" s="215"/>
      <c r="C1248" s="215"/>
      <c r="D1248" s="215"/>
      <c r="E1248" s="215"/>
      <c r="F1248" s="215"/>
      <c r="G1248" s="215"/>
      <c r="H1248" s="215"/>
      <c r="I1248" s="215"/>
      <c r="J1248" s="215"/>
      <c r="K1248" s="215"/>
      <c r="L1248" s="111"/>
      <c r="M1248" s="111"/>
      <c r="N1248" s="111"/>
      <c r="O1248" s="111"/>
      <c r="P1248" s="111"/>
      <c r="Q1248" s="111"/>
      <c r="R1248" s="111"/>
      <c r="S1248" s="712"/>
      <c r="T1248" s="111"/>
      <c r="U1248" s="111"/>
      <c r="V1248" s="111"/>
      <c r="W1248" s="111"/>
      <c r="X1248" s="132"/>
      <c r="Y1248" s="133"/>
      <c r="Z1248" s="132"/>
      <c r="AA1248" s="132"/>
      <c r="AB1248" s="133"/>
      <c r="AC1248" s="132"/>
      <c r="AD1248" s="132"/>
      <c r="AE1248" s="133"/>
      <c r="AF1248" s="132"/>
      <c r="AG1248" s="67"/>
    </row>
    <row r="1249" spans="1:33">
      <c r="A1249" s="9"/>
      <c r="B1249" s="215"/>
      <c r="C1249" s="215"/>
      <c r="D1249" s="215"/>
      <c r="E1249" s="215"/>
      <c r="F1249" s="215"/>
      <c r="G1249" s="215"/>
      <c r="H1249" s="215"/>
      <c r="I1249" s="215"/>
      <c r="J1249" s="215"/>
      <c r="K1249" s="215"/>
      <c r="L1249" s="111"/>
      <c r="M1249" s="111"/>
      <c r="N1249" s="111"/>
      <c r="O1249" s="111"/>
      <c r="P1249" s="111"/>
      <c r="Q1249" s="111"/>
      <c r="R1249" s="111"/>
      <c r="S1249" s="712"/>
      <c r="T1249" s="111"/>
      <c r="U1249" s="111"/>
      <c r="V1249" s="111"/>
      <c r="W1249" s="111"/>
      <c r="X1249" s="132"/>
      <c r="Y1249" s="133"/>
      <c r="Z1249" s="132"/>
      <c r="AA1249" s="132"/>
      <c r="AB1249" s="133"/>
      <c r="AC1249" s="132"/>
      <c r="AD1249" s="132"/>
      <c r="AE1249" s="133"/>
      <c r="AF1249" s="132"/>
      <c r="AG1249" s="67"/>
    </row>
    <row r="1250" spans="1:33">
      <c r="A1250" s="725">
        <v>73</v>
      </c>
      <c r="B1250" s="726" t="e" vm="1">
        <f>'[2]AUN Budget'!$E$309</f>
        <v>#VALUE!</v>
      </c>
      <c r="C1250" s="731"/>
      <c r="D1250" s="731"/>
      <c r="E1250" s="731"/>
      <c r="F1250" s="731"/>
      <c r="G1250" s="731"/>
      <c r="H1250" s="731"/>
      <c r="I1250" s="111"/>
      <c r="J1250" s="111"/>
      <c r="K1250" s="111"/>
      <c r="L1250" s="111"/>
      <c r="M1250" s="111"/>
      <c r="N1250" s="111"/>
      <c r="O1250" s="111"/>
      <c r="P1250" s="111"/>
      <c r="Q1250" s="111"/>
      <c r="R1250" s="111"/>
      <c r="S1250" s="712"/>
      <c r="T1250" s="111"/>
      <c r="U1250" s="111"/>
      <c r="V1250" s="111"/>
      <c r="W1250" s="111"/>
      <c r="X1250" s="132"/>
      <c r="Y1250" s="111"/>
      <c r="Z1250" s="111"/>
      <c r="AA1250" s="111"/>
      <c r="AB1250" s="111"/>
      <c r="AC1250" s="111"/>
      <c r="AD1250" s="111"/>
      <c r="AE1250" s="111"/>
      <c r="AF1250" s="111"/>
      <c r="AG1250" s="67"/>
    </row>
    <row r="1251" spans="1:33">
      <c r="A1251" s="134" t="s">
        <v>150</v>
      </c>
      <c r="B1251" s="143" t="s">
        <v>755</v>
      </c>
      <c r="C1251" s="113" t="s">
        <v>1304</v>
      </c>
      <c r="D1251" s="113" t="s">
        <v>1305</v>
      </c>
      <c r="E1251" s="113" t="s">
        <v>697</v>
      </c>
      <c r="F1251" s="113" t="s">
        <v>1476</v>
      </c>
      <c r="G1251" s="113" t="s">
        <v>1477</v>
      </c>
      <c r="H1251" s="113" t="s">
        <v>1478</v>
      </c>
      <c r="I1251" s="230" t="s">
        <v>1662</v>
      </c>
      <c r="J1251" s="111"/>
      <c r="K1251" s="111"/>
      <c r="L1251" s="111"/>
      <c r="M1251" s="111"/>
      <c r="N1251" s="111"/>
      <c r="O1251" s="111"/>
      <c r="P1251" s="111"/>
      <c r="Q1251" s="111"/>
      <c r="R1251" s="111"/>
      <c r="S1251" s="712"/>
      <c r="T1251" s="159" t="s">
        <v>387</v>
      </c>
      <c r="U1251" s="159" t="s">
        <v>388</v>
      </c>
      <c r="V1251" s="159" t="s">
        <v>934</v>
      </c>
      <c r="W1251" s="160" t="s">
        <v>935</v>
      </c>
      <c r="X1251" s="161" t="s">
        <v>936</v>
      </c>
      <c r="Y1251" s="162" t="s">
        <v>937</v>
      </c>
      <c r="Z1251" s="161" t="s">
        <v>938</v>
      </c>
      <c r="AA1251" s="111"/>
      <c r="AB1251" s="111"/>
      <c r="AC1251" s="111"/>
      <c r="AD1251" s="111"/>
      <c r="AE1251" s="111"/>
      <c r="AF1251" s="111"/>
      <c r="AG1251" s="67"/>
    </row>
    <row r="1252" spans="1:33">
      <c r="A1252" s="134"/>
      <c r="B1252" s="153">
        <v>1</v>
      </c>
      <c r="C1252" s="153"/>
      <c r="D1252" s="121" t="s">
        <v>1659</v>
      </c>
      <c r="E1252" s="153" t="s">
        <v>949</v>
      </c>
      <c r="F1252" s="164">
        <v>15</v>
      </c>
      <c r="G1252" s="164">
        <f>'Assumptions TRC_AUN'!$J$109</f>
        <v>40080</v>
      </c>
      <c r="H1252" s="164">
        <f t="shared" ref="H1252:H1253" si="1116">$F1252*G1252</f>
        <v>601200</v>
      </c>
      <c r="I1252" s="231"/>
      <c r="J1252" s="151"/>
      <c r="K1252" s="111"/>
      <c r="L1252" s="111"/>
      <c r="M1252" s="111"/>
      <c r="N1252" s="111"/>
      <c r="O1252" s="111"/>
      <c r="P1252" s="111"/>
      <c r="Q1252" s="111"/>
      <c r="R1252" s="111"/>
      <c r="S1252" s="712"/>
      <c r="T1252" s="169" t="s">
        <v>946</v>
      </c>
      <c r="U1252" s="169" t="s">
        <v>946</v>
      </c>
      <c r="V1252" s="121" t="s">
        <v>950</v>
      </c>
      <c r="W1252" s="121" t="s">
        <v>951</v>
      </c>
      <c r="X1252" s="170">
        <f>'Assumptions TRC_AUN'!$J$110</f>
        <v>1336</v>
      </c>
      <c r="Y1252" s="200">
        <f t="shared" ref="Y1252:Y1253" si="1117">Z1252/X1252</f>
        <v>450</v>
      </c>
      <c r="Z1252" s="167">
        <f t="shared" ref="Z1252:Z1253" si="1118">H1252</f>
        <v>601200</v>
      </c>
      <c r="AA1252" s="111"/>
      <c r="AB1252" s="111"/>
      <c r="AC1252" s="111"/>
      <c r="AD1252" s="111"/>
      <c r="AE1252" s="111"/>
      <c r="AF1252" s="111"/>
      <c r="AG1252" s="67"/>
    </row>
    <row r="1253" spans="1:33">
      <c r="A1253" s="134"/>
      <c r="B1253" s="153">
        <v>2</v>
      </c>
      <c r="C1253" s="121"/>
      <c r="D1253" s="121" t="s">
        <v>1622</v>
      </c>
      <c r="E1253" s="153" t="s">
        <v>764</v>
      </c>
      <c r="F1253" s="164">
        <v>150</v>
      </c>
      <c r="G1253" s="164">
        <f>'Assumptions TRC_AUN'!$E$33</f>
        <v>3334</v>
      </c>
      <c r="H1253" s="164">
        <f t="shared" si="1116"/>
        <v>500100</v>
      </c>
      <c r="I1253" s="231"/>
      <c r="J1253" s="151"/>
      <c r="K1253" s="111"/>
      <c r="L1253" s="111"/>
      <c r="M1253" s="111"/>
      <c r="N1253" s="111"/>
      <c r="O1253" s="111"/>
      <c r="P1253" s="111"/>
      <c r="Q1253" s="111"/>
      <c r="R1253" s="111"/>
      <c r="S1253" s="712"/>
      <c r="T1253" s="169" t="s">
        <v>946</v>
      </c>
      <c r="U1253" s="169" t="s">
        <v>946</v>
      </c>
      <c r="V1253" s="121" t="s">
        <v>848</v>
      </c>
      <c r="W1253" s="164" t="s">
        <v>947</v>
      </c>
      <c r="X1253" s="170">
        <f>'Assumptions TRC_AUN'!$E$33</f>
        <v>3334</v>
      </c>
      <c r="Y1253" s="200">
        <f t="shared" si="1117"/>
        <v>150</v>
      </c>
      <c r="Z1253" s="167">
        <f t="shared" si="1118"/>
        <v>500100</v>
      </c>
      <c r="AA1253" s="111"/>
      <c r="AB1253" s="111"/>
      <c r="AC1253" s="111"/>
      <c r="AD1253" s="111"/>
      <c r="AE1253" s="111"/>
      <c r="AF1253" s="111"/>
      <c r="AG1253" s="67"/>
    </row>
    <row r="1254" spans="1:33">
      <c r="A1254" s="134"/>
      <c r="B1254" s="153"/>
      <c r="C1254" s="121"/>
      <c r="D1254" s="227" t="s">
        <v>1663</v>
      </c>
      <c r="E1254" s="302" t="s">
        <v>949</v>
      </c>
      <c r="F1254" s="231">
        <v>1</v>
      </c>
      <c r="G1254" s="164"/>
      <c r="H1254" s="164"/>
      <c r="I1254" s="231">
        <v>300000</v>
      </c>
      <c r="J1254" s="151"/>
      <c r="K1254" s="111"/>
      <c r="L1254" s="111"/>
      <c r="M1254" s="111"/>
      <c r="N1254" s="111"/>
      <c r="O1254" s="111"/>
      <c r="P1254" s="111"/>
      <c r="Q1254" s="111"/>
      <c r="R1254" s="111"/>
      <c r="S1254" s="712"/>
      <c r="T1254" s="169"/>
      <c r="U1254" s="169"/>
      <c r="V1254" s="121"/>
      <c r="W1254" s="121"/>
      <c r="X1254" s="170"/>
      <c r="Y1254" s="200"/>
      <c r="Z1254" s="167"/>
      <c r="AA1254" s="111"/>
      <c r="AB1254" s="111"/>
      <c r="AC1254" s="111"/>
      <c r="AD1254" s="111"/>
      <c r="AE1254" s="111"/>
      <c r="AF1254" s="111"/>
      <c r="AG1254" s="67"/>
    </row>
    <row r="1255" spans="1:33">
      <c r="A1255" s="134"/>
      <c r="B1255" s="153"/>
      <c r="C1255" s="121"/>
      <c r="D1255" s="227" t="s">
        <v>1664</v>
      </c>
      <c r="E1255" s="153"/>
      <c r="F1255" s="164"/>
      <c r="G1255" s="164"/>
      <c r="H1255" s="164"/>
      <c r="I1255" s="231">
        <v>240000</v>
      </c>
      <c r="J1255" s="151"/>
      <c r="K1255" s="111"/>
      <c r="L1255" s="111"/>
      <c r="M1255" s="111"/>
      <c r="N1255" s="111"/>
      <c r="O1255" s="111"/>
      <c r="P1255" s="111"/>
      <c r="Q1255" s="111"/>
      <c r="R1255" s="111"/>
      <c r="S1255" s="712"/>
      <c r="T1255" s="169"/>
      <c r="U1255" s="169"/>
      <c r="V1255" s="121"/>
      <c r="W1255" s="121"/>
      <c r="X1255" s="170"/>
      <c r="Y1255" s="200"/>
      <c r="Z1255" s="167"/>
      <c r="AA1255" s="111"/>
      <c r="AB1255" s="111"/>
      <c r="AC1255" s="111"/>
      <c r="AD1255" s="111"/>
      <c r="AE1255" s="111"/>
      <c r="AF1255" s="111"/>
      <c r="AG1255" s="67"/>
    </row>
    <row r="1256" spans="1:33">
      <c r="A1256" s="134"/>
      <c r="B1256" s="153"/>
      <c r="C1256" s="121"/>
      <c r="D1256" s="227" t="s">
        <v>1665</v>
      </c>
      <c r="E1256" s="153"/>
      <c r="F1256" s="164"/>
      <c r="G1256" s="164"/>
      <c r="H1256" s="164"/>
      <c r="I1256" s="231">
        <v>360000</v>
      </c>
      <c r="J1256" s="151"/>
      <c r="K1256" s="111"/>
      <c r="L1256" s="111"/>
      <c r="M1256" s="111"/>
      <c r="N1256" s="111"/>
      <c r="O1256" s="111"/>
      <c r="P1256" s="111"/>
      <c r="Q1256" s="111"/>
      <c r="R1256" s="111"/>
      <c r="S1256" s="712"/>
      <c r="T1256" s="169"/>
      <c r="U1256" s="169"/>
      <c r="V1256" s="121"/>
      <c r="W1256" s="121"/>
      <c r="X1256" s="170"/>
      <c r="Y1256" s="200"/>
      <c r="Z1256" s="167"/>
      <c r="AA1256" s="111"/>
      <c r="AB1256" s="111"/>
      <c r="AC1256" s="111"/>
      <c r="AD1256" s="111"/>
      <c r="AE1256" s="111"/>
      <c r="AF1256" s="111"/>
      <c r="AG1256" s="67"/>
    </row>
    <row r="1257" spans="1:33">
      <c r="A1257" s="134"/>
      <c r="B1257" s="153"/>
      <c r="C1257" s="121"/>
      <c r="D1257" s="227" t="s">
        <v>1666</v>
      </c>
      <c r="E1257" s="153"/>
      <c r="F1257" s="164"/>
      <c r="G1257" s="164"/>
      <c r="H1257" s="164"/>
      <c r="I1257" s="231">
        <v>139751.54999999999</v>
      </c>
      <c r="J1257" s="151"/>
      <c r="K1257" s="111"/>
      <c r="L1257" s="111"/>
      <c r="M1257" s="111"/>
      <c r="N1257" s="111"/>
      <c r="O1257" s="111"/>
      <c r="P1257" s="111"/>
      <c r="Q1257" s="111"/>
      <c r="R1257" s="111"/>
      <c r="S1257" s="712"/>
      <c r="T1257" s="169"/>
      <c r="U1257" s="169"/>
      <c r="V1257" s="121"/>
      <c r="W1257" s="121"/>
      <c r="X1257" s="170"/>
      <c r="Y1257" s="200"/>
      <c r="Z1257" s="167"/>
      <c r="AA1257" s="111"/>
      <c r="AB1257" s="111"/>
      <c r="AC1257" s="111"/>
      <c r="AD1257" s="111"/>
      <c r="AE1257" s="111"/>
      <c r="AF1257" s="111"/>
      <c r="AG1257" s="67"/>
    </row>
    <row r="1258" spans="1:33">
      <c r="A1258" s="134"/>
      <c r="B1258" s="153"/>
      <c r="C1258" s="121"/>
      <c r="D1258" s="227" t="s">
        <v>1667</v>
      </c>
      <c r="E1258" s="153"/>
      <c r="F1258" s="164"/>
      <c r="G1258" s="164"/>
      <c r="H1258" s="164"/>
      <c r="I1258" s="231">
        <v>130941.61</v>
      </c>
      <c r="J1258" s="151"/>
      <c r="K1258" s="111"/>
      <c r="L1258" s="111"/>
      <c r="M1258" s="111"/>
      <c r="N1258" s="111"/>
      <c r="O1258" s="111"/>
      <c r="P1258" s="111"/>
      <c r="Q1258" s="111"/>
      <c r="R1258" s="111"/>
      <c r="S1258" s="712"/>
      <c r="T1258" s="169"/>
      <c r="U1258" s="169"/>
      <c r="V1258" s="121"/>
      <c r="W1258" s="121"/>
      <c r="X1258" s="170"/>
      <c r="Y1258" s="200"/>
      <c r="Z1258" s="167"/>
      <c r="AA1258" s="111"/>
      <c r="AB1258" s="111"/>
      <c r="AC1258" s="111"/>
      <c r="AD1258" s="111"/>
      <c r="AE1258" s="111"/>
      <c r="AF1258" s="111"/>
      <c r="AG1258" s="67"/>
    </row>
    <row r="1259" spans="1:33">
      <c r="A1259" s="134"/>
      <c r="B1259" s="153">
        <v>3</v>
      </c>
      <c r="C1259" s="121" t="s">
        <v>1001</v>
      </c>
      <c r="D1259" s="121"/>
      <c r="E1259" s="153"/>
      <c r="F1259" s="164"/>
      <c r="G1259" s="164"/>
      <c r="H1259" s="164">
        <f>SUM(H1252:H1253)*10%</f>
        <v>110130</v>
      </c>
      <c r="I1259" s="231">
        <v>212555.07</v>
      </c>
      <c r="J1259" s="151"/>
      <c r="K1259" s="111"/>
      <c r="L1259" s="111"/>
      <c r="M1259" s="111"/>
      <c r="N1259" s="111"/>
      <c r="O1259" s="111"/>
      <c r="P1259" s="111"/>
      <c r="Q1259" s="111"/>
      <c r="R1259" s="111"/>
      <c r="S1259" s="712"/>
      <c r="T1259" s="169" t="s">
        <v>946</v>
      </c>
      <c r="U1259" s="169" t="s">
        <v>946</v>
      </c>
      <c r="V1259" s="121" t="s">
        <v>875</v>
      </c>
      <c r="W1259" s="121" t="s">
        <v>961</v>
      </c>
      <c r="X1259" s="170">
        <f>'Assumptions HR_AUN'!$D$4*3</f>
        <v>88211.039066799218</v>
      </c>
      <c r="Y1259" s="200">
        <f t="shared" ref="Y1259:Y1260" si="1119">Z1259/X1259</f>
        <v>1.2484831962652916</v>
      </c>
      <c r="Z1259" s="167">
        <f t="shared" ref="Z1259:Z1260" si="1120">H1259</f>
        <v>110130</v>
      </c>
      <c r="AA1259" s="111"/>
      <c r="AB1259" s="111"/>
      <c r="AC1259" s="111"/>
      <c r="AD1259" s="111"/>
      <c r="AE1259" s="111"/>
      <c r="AF1259" s="111"/>
      <c r="AG1259" s="67"/>
    </row>
    <row r="1260" spans="1:33">
      <c r="A1260" s="134"/>
      <c r="B1260" s="153">
        <v>4</v>
      </c>
      <c r="C1260" s="121" t="s">
        <v>962</v>
      </c>
      <c r="D1260" s="153"/>
      <c r="E1260" s="153"/>
      <c r="F1260" s="164"/>
      <c r="G1260" s="164"/>
      <c r="H1260" s="164">
        <f>SUM(H1252)*15%</f>
        <v>90180</v>
      </c>
      <c r="I1260" s="231">
        <v>84130.43</v>
      </c>
      <c r="J1260" s="151"/>
      <c r="K1260" s="111"/>
      <c r="L1260" s="111"/>
      <c r="M1260" s="111"/>
      <c r="N1260" s="111"/>
      <c r="O1260" s="111"/>
      <c r="P1260" s="111"/>
      <c r="Q1260" s="111"/>
      <c r="R1260" s="111"/>
      <c r="S1260" s="712"/>
      <c r="T1260" s="169" t="s">
        <v>946</v>
      </c>
      <c r="U1260" s="169" t="s">
        <v>946</v>
      </c>
      <c r="V1260" s="121" t="s">
        <v>881</v>
      </c>
      <c r="W1260" s="121" t="s">
        <v>964</v>
      </c>
      <c r="X1260" s="170">
        <f>H1260/4</f>
        <v>22545</v>
      </c>
      <c r="Y1260" s="200">
        <f t="shared" si="1119"/>
        <v>4</v>
      </c>
      <c r="Z1260" s="167">
        <f t="shared" si="1120"/>
        <v>90180</v>
      </c>
      <c r="AA1260" s="111"/>
      <c r="AB1260" s="111"/>
      <c r="AC1260" s="111"/>
      <c r="AD1260" s="111"/>
      <c r="AE1260" s="111"/>
      <c r="AF1260" s="111"/>
      <c r="AG1260" s="67"/>
    </row>
    <row r="1261" spans="1:33">
      <c r="A1261" s="134"/>
      <c r="B1261" s="186"/>
      <c r="C1261" s="186" t="s">
        <v>770</v>
      </c>
      <c r="D1261" s="186"/>
      <c r="E1261" s="186"/>
      <c r="F1261" s="276"/>
      <c r="G1261" s="276"/>
      <c r="H1261" s="276">
        <f t="shared" ref="H1261:I1261" si="1121">SUM(H1252:H1260)</f>
        <v>1301610</v>
      </c>
      <c r="I1261" s="303">
        <f t="shared" si="1121"/>
        <v>1467378.6600000001</v>
      </c>
      <c r="J1261" s="111"/>
      <c r="K1261" s="111"/>
      <c r="L1261" s="111"/>
      <c r="M1261" s="111"/>
      <c r="N1261" s="111"/>
      <c r="O1261" s="111"/>
      <c r="P1261" s="111"/>
      <c r="Q1261" s="111"/>
      <c r="R1261" s="111"/>
      <c r="S1261" s="712"/>
      <c r="T1261" s="111"/>
      <c r="U1261" s="111"/>
      <c r="V1261" s="111"/>
      <c r="W1261" s="111"/>
      <c r="X1261" s="132"/>
      <c r="Y1261" s="111"/>
      <c r="Z1261" s="111"/>
      <c r="AA1261" s="111"/>
      <c r="AB1261" s="111"/>
      <c r="AC1261" s="111"/>
      <c r="AD1261" s="111"/>
      <c r="AE1261" s="111"/>
      <c r="AF1261" s="111"/>
      <c r="AG1261" s="67"/>
    </row>
    <row r="1262" spans="1:33">
      <c r="A1262" s="9"/>
      <c r="B1262" s="215"/>
      <c r="C1262" s="215"/>
      <c r="D1262" s="215"/>
      <c r="E1262" s="215"/>
      <c r="F1262" s="215"/>
      <c r="G1262" s="215"/>
      <c r="H1262" s="215"/>
      <c r="I1262" s="215"/>
      <c r="J1262" s="215"/>
      <c r="K1262" s="215"/>
      <c r="L1262" s="111"/>
      <c r="M1262" s="111"/>
      <c r="N1262" s="111"/>
      <c r="O1262" s="111"/>
      <c r="P1262" s="111"/>
      <c r="Q1262" s="111"/>
      <c r="R1262" s="111"/>
      <c r="S1262" s="712"/>
      <c r="T1262" s="111"/>
      <c r="U1262" s="111"/>
      <c r="V1262" s="111"/>
      <c r="W1262" s="111"/>
      <c r="X1262" s="132"/>
      <c r="Y1262" s="133"/>
      <c r="Z1262" s="132"/>
      <c r="AA1262" s="132"/>
      <c r="AB1262" s="133"/>
      <c r="AC1262" s="132"/>
      <c r="AD1262" s="132"/>
      <c r="AE1262" s="133"/>
      <c r="AF1262" s="132"/>
      <c r="AG1262" s="67"/>
    </row>
    <row r="1263" spans="1:33">
      <c r="A1263" s="725">
        <v>74</v>
      </c>
      <c r="B1263" s="726" t="e" vm="1">
        <f>'[2]AUN Budget'!$E$313</f>
        <v>#VALUE!</v>
      </c>
      <c r="C1263" s="731"/>
      <c r="D1263" s="731"/>
      <c r="E1263" s="731"/>
      <c r="F1263" s="731"/>
      <c r="G1263" s="731"/>
      <c r="H1263" s="731"/>
      <c r="I1263" s="111"/>
      <c r="J1263" s="111"/>
      <c r="K1263" s="111"/>
      <c r="L1263" s="111"/>
      <c r="M1263" s="111"/>
      <c r="N1263" s="111"/>
      <c r="O1263" s="111"/>
      <c r="P1263" s="111"/>
      <c r="Q1263" s="111"/>
      <c r="R1263" s="111"/>
      <c r="S1263" s="712"/>
      <c r="T1263" s="111"/>
      <c r="U1263" s="111"/>
      <c r="V1263" s="111"/>
      <c r="W1263" s="111"/>
      <c r="X1263" s="132"/>
      <c r="Y1263" s="111"/>
      <c r="Z1263" s="111"/>
      <c r="AA1263" s="111"/>
      <c r="AB1263" s="111"/>
      <c r="AC1263" s="111"/>
      <c r="AD1263" s="111"/>
      <c r="AE1263" s="111"/>
      <c r="AF1263" s="111"/>
      <c r="AG1263" s="67"/>
    </row>
    <row r="1264" spans="1:33">
      <c r="A1264" s="134" t="s">
        <v>158</v>
      </c>
      <c r="B1264" s="143" t="s">
        <v>755</v>
      </c>
      <c r="C1264" s="113" t="s">
        <v>1304</v>
      </c>
      <c r="D1264" s="113" t="s">
        <v>1305</v>
      </c>
      <c r="E1264" s="113" t="s">
        <v>697</v>
      </c>
      <c r="F1264" s="113" t="s">
        <v>1476</v>
      </c>
      <c r="G1264" s="113" t="s">
        <v>1477</v>
      </c>
      <c r="H1264" s="113" t="s">
        <v>1478</v>
      </c>
      <c r="I1264" s="230" t="s">
        <v>1662</v>
      </c>
      <c r="J1264" s="111"/>
      <c r="K1264" s="111"/>
      <c r="L1264" s="111"/>
      <c r="M1264" s="111"/>
      <c r="N1264" s="111"/>
      <c r="O1264" s="111"/>
      <c r="P1264" s="111"/>
      <c r="Q1264" s="111"/>
      <c r="R1264" s="111"/>
      <c r="S1264" s="712"/>
      <c r="T1264" s="159" t="s">
        <v>387</v>
      </c>
      <c r="U1264" s="159" t="s">
        <v>388</v>
      </c>
      <c r="V1264" s="159" t="s">
        <v>934</v>
      </c>
      <c r="W1264" s="160" t="s">
        <v>935</v>
      </c>
      <c r="X1264" s="161" t="s">
        <v>936</v>
      </c>
      <c r="Y1264" s="162" t="s">
        <v>937</v>
      </c>
      <c r="Z1264" s="161" t="s">
        <v>938</v>
      </c>
      <c r="AA1264" s="111"/>
      <c r="AB1264" s="111"/>
      <c r="AC1264" s="111"/>
      <c r="AD1264" s="111"/>
      <c r="AE1264" s="111"/>
      <c r="AF1264" s="111"/>
      <c r="AG1264" s="67"/>
    </row>
    <row r="1265" spans="1:33">
      <c r="A1265" s="134"/>
      <c r="B1265" s="153">
        <v>1</v>
      </c>
      <c r="C1265" s="153"/>
      <c r="D1265" s="121" t="s">
        <v>1659</v>
      </c>
      <c r="E1265" s="153" t="s">
        <v>949</v>
      </c>
      <c r="F1265" s="164">
        <v>15</v>
      </c>
      <c r="G1265" s="164">
        <f>'Assumptions TRC_AUN'!$J$109</f>
        <v>40080</v>
      </c>
      <c r="H1265" s="164">
        <f t="shared" ref="H1265:H1266" si="1122">$F1265*G1265</f>
        <v>601200</v>
      </c>
      <c r="I1265" s="231"/>
      <c r="J1265" s="151"/>
      <c r="K1265" s="111"/>
      <c r="L1265" s="111"/>
      <c r="M1265" s="111"/>
      <c r="N1265" s="111"/>
      <c r="O1265" s="111"/>
      <c r="P1265" s="111"/>
      <c r="Q1265" s="111"/>
      <c r="R1265" s="111"/>
      <c r="S1265" s="712"/>
      <c r="T1265" s="169" t="s">
        <v>946</v>
      </c>
      <c r="U1265" s="169" t="s">
        <v>946</v>
      </c>
      <c r="V1265" s="121" t="s">
        <v>950</v>
      </c>
      <c r="W1265" s="121" t="s">
        <v>951</v>
      </c>
      <c r="X1265" s="170">
        <f>'Assumptions TRC_AUN'!$J$110</f>
        <v>1336</v>
      </c>
      <c r="Y1265" s="200">
        <f t="shared" ref="Y1265:Y1266" si="1123">Z1265/X1265</f>
        <v>450</v>
      </c>
      <c r="Z1265" s="167">
        <f t="shared" ref="Z1265:Z1266" si="1124">H1265</f>
        <v>601200</v>
      </c>
      <c r="AA1265" s="111"/>
      <c r="AB1265" s="111"/>
      <c r="AC1265" s="111"/>
      <c r="AD1265" s="111"/>
      <c r="AE1265" s="111"/>
      <c r="AF1265" s="111"/>
      <c r="AG1265" s="67"/>
    </row>
    <row r="1266" spans="1:33">
      <c r="A1266" s="134"/>
      <c r="B1266" s="153">
        <v>2</v>
      </c>
      <c r="C1266" s="121"/>
      <c r="D1266" s="121" t="s">
        <v>1622</v>
      </c>
      <c r="E1266" s="153" t="s">
        <v>764</v>
      </c>
      <c r="F1266" s="164">
        <v>150</v>
      </c>
      <c r="G1266" s="164">
        <f>'Assumptions TRC_AUN'!$E$33</f>
        <v>3334</v>
      </c>
      <c r="H1266" s="164">
        <f t="shared" si="1122"/>
        <v>500100</v>
      </c>
      <c r="I1266" s="231"/>
      <c r="J1266" s="151"/>
      <c r="K1266" s="111"/>
      <c r="L1266" s="111"/>
      <c r="M1266" s="111"/>
      <c r="N1266" s="111"/>
      <c r="O1266" s="111"/>
      <c r="P1266" s="111"/>
      <c r="Q1266" s="111"/>
      <c r="R1266" s="111"/>
      <c r="S1266" s="712"/>
      <c r="T1266" s="169" t="s">
        <v>946</v>
      </c>
      <c r="U1266" s="169" t="s">
        <v>946</v>
      </c>
      <c r="V1266" s="121" t="s">
        <v>848</v>
      </c>
      <c r="W1266" s="164" t="s">
        <v>947</v>
      </c>
      <c r="X1266" s="170">
        <f>'Assumptions TRC_AUN'!$E$33</f>
        <v>3334</v>
      </c>
      <c r="Y1266" s="200">
        <f t="shared" si="1123"/>
        <v>150</v>
      </c>
      <c r="Z1266" s="167">
        <f t="shared" si="1124"/>
        <v>500100</v>
      </c>
      <c r="AA1266" s="111"/>
      <c r="AB1266" s="111"/>
      <c r="AC1266" s="111"/>
      <c r="AD1266" s="111"/>
      <c r="AE1266" s="111"/>
      <c r="AF1266" s="111"/>
      <c r="AG1266" s="67"/>
    </row>
    <row r="1267" spans="1:33">
      <c r="A1267" s="134"/>
      <c r="B1267" s="153"/>
      <c r="C1267" s="121"/>
      <c r="D1267" s="227" t="s">
        <v>1666</v>
      </c>
      <c r="E1267" s="153"/>
      <c r="F1267" s="164"/>
      <c r="G1267" s="164"/>
      <c r="H1267" s="164"/>
      <c r="I1267" s="231">
        <v>460248.45</v>
      </c>
      <c r="J1267" s="151"/>
      <c r="K1267" s="111"/>
      <c r="L1267" s="111"/>
      <c r="M1267" s="111"/>
      <c r="N1267" s="111"/>
      <c r="O1267" s="111"/>
      <c r="P1267" s="111"/>
      <c r="Q1267" s="111"/>
      <c r="R1267" s="111"/>
      <c r="S1267" s="712"/>
      <c r="T1267" s="169"/>
      <c r="U1267" s="169"/>
      <c r="V1267" s="121"/>
      <c r="W1267" s="121"/>
      <c r="X1267" s="170"/>
      <c r="Y1267" s="200"/>
      <c r="Z1267" s="167"/>
      <c r="AA1267" s="111"/>
      <c r="AB1267" s="111"/>
      <c r="AC1267" s="111"/>
      <c r="AD1267" s="111"/>
      <c r="AE1267" s="111"/>
      <c r="AF1267" s="111"/>
      <c r="AG1267" s="67"/>
    </row>
    <row r="1268" spans="1:33">
      <c r="A1268" s="134"/>
      <c r="B1268" s="153"/>
      <c r="C1268" s="121"/>
      <c r="D1268" s="227" t="s">
        <v>1667</v>
      </c>
      <c r="E1268" s="153"/>
      <c r="F1268" s="164"/>
      <c r="G1268" s="164"/>
      <c r="H1268" s="164"/>
      <c r="I1268" s="231">
        <v>431234.39</v>
      </c>
      <c r="J1268" s="151"/>
      <c r="K1268" s="111"/>
      <c r="L1268" s="111"/>
      <c r="M1268" s="111"/>
      <c r="N1268" s="111"/>
      <c r="O1268" s="111"/>
      <c r="P1268" s="111"/>
      <c r="Q1268" s="111"/>
      <c r="R1268" s="111"/>
      <c r="S1268" s="712"/>
      <c r="T1268" s="169"/>
      <c r="U1268" s="169"/>
      <c r="V1268" s="121"/>
      <c r="W1268" s="121"/>
      <c r="X1268" s="170"/>
      <c r="Y1268" s="200"/>
      <c r="Z1268" s="167"/>
      <c r="AA1268" s="111"/>
      <c r="AB1268" s="111"/>
      <c r="AC1268" s="111"/>
      <c r="AD1268" s="111"/>
      <c r="AE1268" s="111"/>
      <c r="AF1268" s="111"/>
      <c r="AG1268" s="67"/>
    </row>
    <row r="1269" spans="1:33">
      <c r="A1269" s="134"/>
      <c r="B1269" s="153"/>
      <c r="C1269" s="121"/>
      <c r="D1269" s="227" t="s">
        <v>1668</v>
      </c>
      <c r="E1269" s="153"/>
      <c r="F1269" s="164"/>
      <c r="G1269" s="164"/>
      <c r="H1269" s="164"/>
      <c r="I1269" s="231">
        <v>540000</v>
      </c>
      <c r="J1269" s="151"/>
      <c r="K1269" s="111"/>
      <c r="L1269" s="111"/>
      <c r="M1269" s="111"/>
      <c r="N1269" s="111"/>
      <c r="O1269" s="111"/>
      <c r="P1269" s="111"/>
      <c r="Q1269" s="111"/>
      <c r="R1269" s="111"/>
      <c r="S1269" s="712"/>
      <c r="T1269" s="169"/>
      <c r="U1269" s="169"/>
      <c r="V1269" s="121"/>
      <c r="W1269" s="121"/>
      <c r="X1269" s="170"/>
      <c r="Y1269" s="200"/>
      <c r="Z1269" s="167"/>
      <c r="AA1269" s="111"/>
      <c r="AB1269" s="111"/>
      <c r="AC1269" s="111"/>
      <c r="AD1269" s="111"/>
      <c r="AE1269" s="111"/>
      <c r="AF1269" s="111"/>
      <c r="AG1269" s="67"/>
    </row>
    <row r="1270" spans="1:33">
      <c r="A1270" s="134"/>
      <c r="B1270" s="153"/>
      <c r="C1270" s="121"/>
      <c r="D1270" s="227" t="s">
        <v>1669</v>
      </c>
      <c r="E1270" s="153"/>
      <c r="F1270" s="164"/>
      <c r="G1270" s="164"/>
      <c r="H1270" s="164"/>
      <c r="I1270" s="231">
        <v>444000</v>
      </c>
      <c r="J1270" s="151"/>
      <c r="K1270" s="111"/>
      <c r="L1270" s="111"/>
      <c r="M1270" s="111"/>
      <c r="N1270" s="111"/>
      <c r="O1270" s="111"/>
      <c r="P1270" s="111"/>
      <c r="Q1270" s="111"/>
      <c r="R1270" s="111"/>
      <c r="S1270" s="712"/>
      <c r="T1270" s="169"/>
      <c r="U1270" s="169"/>
      <c r="V1270" s="121"/>
      <c r="W1270" s="121"/>
      <c r="X1270" s="170"/>
      <c r="Y1270" s="200"/>
      <c r="Z1270" s="167"/>
      <c r="AA1270" s="111"/>
      <c r="AB1270" s="111"/>
      <c r="AC1270" s="111"/>
      <c r="AD1270" s="111"/>
      <c r="AE1270" s="111"/>
      <c r="AF1270" s="111"/>
      <c r="AG1270" s="67"/>
    </row>
    <row r="1271" spans="1:33">
      <c r="A1271" s="134"/>
      <c r="B1271" s="153"/>
      <c r="C1271" s="121"/>
      <c r="D1271" s="227" t="s">
        <v>1670</v>
      </c>
      <c r="E1271" s="153"/>
      <c r="F1271" s="164"/>
      <c r="G1271" s="164"/>
      <c r="H1271" s="164"/>
      <c r="I1271" s="231">
        <v>600000</v>
      </c>
      <c r="J1271" s="151"/>
      <c r="K1271" s="111"/>
      <c r="L1271" s="111"/>
      <c r="M1271" s="111"/>
      <c r="N1271" s="111"/>
      <c r="O1271" s="111"/>
      <c r="P1271" s="111"/>
      <c r="Q1271" s="111"/>
      <c r="R1271" s="111"/>
      <c r="S1271" s="712"/>
      <c r="T1271" s="169"/>
      <c r="U1271" s="169"/>
      <c r="V1271" s="121"/>
      <c r="W1271" s="121"/>
      <c r="X1271" s="170"/>
      <c r="Y1271" s="200"/>
      <c r="Z1271" s="167"/>
      <c r="AA1271" s="111"/>
      <c r="AB1271" s="111"/>
      <c r="AC1271" s="111"/>
      <c r="AD1271" s="111"/>
      <c r="AE1271" s="111"/>
      <c r="AF1271" s="111"/>
      <c r="AG1271" s="67"/>
    </row>
    <row r="1272" spans="1:33">
      <c r="A1272" s="134"/>
      <c r="B1272" s="153"/>
      <c r="C1272" s="121"/>
      <c r="D1272" s="227" t="s">
        <v>1671</v>
      </c>
      <c r="E1272" s="153"/>
      <c r="F1272" s="164"/>
      <c r="G1272" s="164"/>
      <c r="H1272" s="164"/>
      <c r="I1272" s="231">
        <v>300000</v>
      </c>
      <c r="J1272" s="151"/>
      <c r="K1272" s="111"/>
      <c r="L1272" s="111"/>
      <c r="M1272" s="111"/>
      <c r="N1272" s="111"/>
      <c r="O1272" s="111"/>
      <c r="P1272" s="111"/>
      <c r="Q1272" s="111"/>
      <c r="R1272" s="111"/>
      <c r="S1272" s="712"/>
      <c r="T1272" s="169"/>
      <c r="U1272" s="169"/>
      <c r="V1272" s="121"/>
      <c r="W1272" s="121"/>
      <c r="X1272" s="170"/>
      <c r="Y1272" s="200"/>
      <c r="Z1272" s="167"/>
      <c r="AA1272" s="111"/>
      <c r="AB1272" s="111"/>
      <c r="AC1272" s="111"/>
      <c r="AD1272" s="111"/>
      <c r="AE1272" s="111"/>
      <c r="AF1272" s="111"/>
      <c r="AG1272" s="67"/>
    </row>
    <row r="1273" spans="1:33">
      <c r="A1273" s="134"/>
      <c r="B1273" s="153"/>
      <c r="C1273" s="121"/>
      <c r="D1273" s="227" t="s">
        <v>1672</v>
      </c>
      <c r="E1273" s="153"/>
      <c r="F1273" s="164"/>
      <c r="G1273" s="164"/>
      <c r="H1273" s="164"/>
      <c r="I1273" s="231">
        <v>540000</v>
      </c>
      <c r="J1273" s="151"/>
      <c r="K1273" s="111"/>
      <c r="L1273" s="111"/>
      <c r="M1273" s="111"/>
      <c r="N1273" s="111"/>
      <c r="O1273" s="111"/>
      <c r="P1273" s="111"/>
      <c r="Q1273" s="111"/>
      <c r="R1273" s="111"/>
      <c r="S1273" s="712"/>
      <c r="T1273" s="169"/>
      <c r="U1273" s="169"/>
      <c r="V1273" s="121"/>
      <c r="W1273" s="121"/>
      <c r="X1273" s="170"/>
      <c r="Y1273" s="200"/>
      <c r="Z1273" s="167"/>
      <c r="AA1273" s="111"/>
      <c r="AB1273" s="111"/>
      <c r="AC1273" s="111"/>
      <c r="AD1273" s="111"/>
      <c r="AE1273" s="111"/>
      <c r="AF1273" s="111"/>
      <c r="AG1273" s="67"/>
    </row>
    <row r="1274" spans="1:33">
      <c r="A1274" s="134"/>
      <c r="B1274" s="153"/>
      <c r="C1274" s="121"/>
      <c r="D1274" s="227" t="s">
        <v>1664</v>
      </c>
      <c r="E1274" s="153"/>
      <c r="F1274" s="164"/>
      <c r="G1274" s="164"/>
      <c r="H1274" s="164"/>
      <c r="I1274" s="231">
        <v>240000</v>
      </c>
      <c r="J1274" s="151"/>
      <c r="K1274" s="111"/>
      <c r="L1274" s="111"/>
      <c r="M1274" s="111"/>
      <c r="N1274" s="111"/>
      <c r="O1274" s="111"/>
      <c r="P1274" s="111"/>
      <c r="Q1274" s="111"/>
      <c r="R1274" s="111"/>
      <c r="S1274" s="712"/>
      <c r="T1274" s="169"/>
      <c r="U1274" s="169"/>
      <c r="V1274" s="121"/>
      <c r="W1274" s="121"/>
      <c r="X1274" s="170"/>
      <c r="Y1274" s="200"/>
      <c r="Z1274" s="167"/>
      <c r="AA1274" s="111"/>
      <c r="AB1274" s="111"/>
      <c r="AC1274" s="111"/>
      <c r="AD1274" s="111"/>
      <c r="AE1274" s="111"/>
      <c r="AF1274" s="111"/>
      <c r="AG1274" s="67"/>
    </row>
    <row r="1275" spans="1:33">
      <c r="A1275" s="134"/>
      <c r="B1275" s="153"/>
      <c r="C1275" s="121"/>
      <c r="D1275" s="227" t="s">
        <v>1673</v>
      </c>
      <c r="E1275" s="153"/>
      <c r="F1275" s="164"/>
      <c r="G1275" s="164"/>
      <c r="H1275" s="164"/>
      <c r="I1275" s="231">
        <v>300000</v>
      </c>
      <c r="J1275" s="151"/>
      <c r="K1275" s="111"/>
      <c r="L1275" s="111"/>
      <c r="M1275" s="111"/>
      <c r="N1275" s="111"/>
      <c r="O1275" s="111"/>
      <c r="P1275" s="111"/>
      <c r="Q1275" s="111"/>
      <c r="R1275" s="111"/>
      <c r="S1275" s="712"/>
      <c r="T1275" s="169"/>
      <c r="U1275" s="169"/>
      <c r="V1275" s="121"/>
      <c r="W1275" s="121"/>
      <c r="X1275" s="170"/>
      <c r="Y1275" s="200"/>
      <c r="Z1275" s="167"/>
      <c r="AA1275" s="111"/>
      <c r="AB1275" s="111"/>
      <c r="AC1275" s="111"/>
      <c r="AD1275" s="111"/>
      <c r="AE1275" s="111"/>
      <c r="AF1275" s="111"/>
      <c r="AG1275" s="67"/>
    </row>
    <row r="1276" spans="1:33">
      <c r="A1276" s="134"/>
      <c r="B1276" s="153">
        <v>3</v>
      </c>
      <c r="C1276" s="121" t="s">
        <v>1001</v>
      </c>
      <c r="D1276" s="121"/>
      <c r="E1276" s="153"/>
      <c r="F1276" s="164"/>
      <c r="G1276" s="164"/>
      <c r="H1276" s="164">
        <f>SUM(H1265:H1266)*10%</f>
        <v>110130</v>
      </c>
      <c r="I1276" s="231">
        <v>700014.69</v>
      </c>
      <c r="J1276" s="151"/>
      <c r="K1276" s="111"/>
      <c r="L1276" s="111"/>
      <c r="M1276" s="111"/>
      <c r="N1276" s="111"/>
      <c r="O1276" s="111"/>
      <c r="P1276" s="111"/>
      <c r="Q1276" s="111"/>
      <c r="R1276" s="111"/>
      <c r="S1276" s="712"/>
      <c r="T1276" s="169" t="s">
        <v>946</v>
      </c>
      <c r="U1276" s="169" t="s">
        <v>946</v>
      </c>
      <c r="V1276" s="121" t="s">
        <v>875</v>
      </c>
      <c r="W1276" s="121" t="s">
        <v>961</v>
      </c>
      <c r="X1276" s="170">
        <f>'Assumptions HR_AUN'!$D$4*3</f>
        <v>88211.039066799218</v>
      </c>
      <c r="Y1276" s="200">
        <f t="shared" ref="Y1276:Y1277" si="1125">Z1276/X1276</f>
        <v>1.2484831962652916</v>
      </c>
      <c r="Z1276" s="167">
        <f t="shared" ref="Z1276:Z1277" si="1126">H1276</f>
        <v>110130</v>
      </c>
      <c r="AA1276" s="111"/>
      <c r="AB1276" s="111"/>
      <c r="AC1276" s="111"/>
      <c r="AD1276" s="111"/>
      <c r="AE1276" s="111"/>
      <c r="AF1276" s="111"/>
      <c r="AG1276" s="67"/>
    </row>
    <row r="1277" spans="1:33">
      <c r="A1277" s="134"/>
      <c r="B1277" s="153">
        <v>4</v>
      </c>
      <c r="C1277" s="121" t="s">
        <v>962</v>
      </c>
      <c r="D1277" s="153"/>
      <c r="E1277" s="153"/>
      <c r="F1277" s="221"/>
      <c r="G1277" s="164"/>
      <c r="H1277" s="164">
        <f>SUM(H1265)*15%</f>
        <v>90180</v>
      </c>
      <c r="I1277" s="231">
        <v>277069.57</v>
      </c>
      <c r="J1277" s="151"/>
      <c r="K1277" s="111"/>
      <c r="L1277" s="111"/>
      <c r="M1277" s="111"/>
      <c r="N1277" s="111"/>
      <c r="O1277" s="111"/>
      <c r="P1277" s="111"/>
      <c r="Q1277" s="111"/>
      <c r="R1277" s="111"/>
      <c r="S1277" s="712"/>
      <c r="T1277" s="169" t="s">
        <v>946</v>
      </c>
      <c r="U1277" s="169" t="s">
        <v>946</v>
      </c>
      <c r="V1277" s="121" t="s">
        <v>881</v>
      </c>
      <c r="W1277" s="121" t="s">
        <v>964</v>
      </c>
      <c r="X1277" s="170">
        <f>H1277/4</f>
        <v>22545</v>
      </c>
      <c r="Y1277" s="200">
        <f t="shared" si="1125"/>
        <v>4</v>
      </c>
      <c r="Z1277" s="167">
        <f t="shared" si="1126"/>
        <v>90180</v>
      </c>
      <c r="AA1277" s="111"/>
      <c r="AB1277" s="111"/>
      <c r="AC1277" s="111"/>
      <c r="AD1277" s="111"/>
      <c r="AE1277" s="111"/>
      <c r="AF1277" s="111"/>
      <c r="AG1277" s="67"/>
    </row>
    <row r="1278" spans="1:33">
      <c r="A1278" s="134"/>
      <c r="B1278" s="186"/>
      <c r="C1278" s="186" t="s">
        <v>770</v>
      </c>
      <c r="D1278" s="186"/>
      <c r="E1278" s="186"/>
      <c r="F1278" s="276"/>
      <c r="G1278" s="276"/>
      <c r="H1278" s="276">
        <f t="shared" ref="H1278:I1278" si="1127">SUM(H1265:H1277)</f>
        <v>1301610</v>
      </c>
      <c r="I1278" s="303">
        <f t="shared" si="1127"/>
        <v>4832567.0999999996</v>
      </c>
      <c r="J1278" s="111"/>
      <c r="K1278" s="111"/>
      <c r="L1278" s="111"/>
      <c r="M1278" s="111"/>
      <c r="N1278" s="111"/>
      <c r="O1278" s="111"/>
      <c r="P1278" s="111"/>
      <c r="Q1278" s="111"/>
      <c r="R1278" s="111"/>
      <c r="S1278" s="712"/>
      <c r="T1278" s="111"/>
      <c r="U1278" s="111"/>
      <c r="V1278" s="111"/>
      <c r="W1278" s="111"/>
      <c r="X1278" s="132"/>
      <c r="Y1278" s="111"/>
      <c r="Z1278" s="111"/>
      <c r="AA1278" s="111"/>
      <c r="AB1278" s="111"/>
      <c r="AC1278" s="111"/>
      <c r="AD1278" s="111"/>
      <c r="AE1278" s="111"/>
      <c r="AF1278" s="111"/>
      <c r="AG1278" s="67"/>
    </row>
    <row r="1279" spans="1:33">
      <c r="A1279" s="9"/>
      <c r="B1279" s="215"/>
      <c r="C1279" s="215"/>
      <c r="D1279" s="215"/>
      <c r="E1279" s="215"/>
      <c r="F1279" s="215"/>
      <c r="G1279" s="215"/>
      <c r="H1279" s="215"/>
      <c r="I1279" s="215"/>
      <c r="J1279" s="215"/>
      <c r="K1279" s="215"/>
      <c r="L1279" s="111"/>
      <c r="M1279" s="111"/>
      <c r="N1279" s="111"/>
      <c r="O1279" s="111"/>
      <c r="P1279" s="111"/>
      <c r="Q1279" s="111"/>
      <c r="R1279" s="111"/>
      <c r="S1279" s="712"/>
      <c r="T1279" s="111"/>
      <c r="U1279" s="111"/>
      <c r="V1279" s="111"/>
      <c r="W1279" s="111"/>
      <c r="X1279" s="132"/>
      <c r="Y1279" s="133"/>
      <c r="Z1279" s="132"/>
      <c r="AA1279" s="132"/>
      <c r="AB1279" s="133"/>
      <c r="AC1279" s="132"/>
      <c r="AD1279" s="132"/>
      <c r="AE1279" s="133"/>
      <c r="AF1279" s="132"/>
      <c r="AG1279" s="67"/>
    </row>
    <row r="1280" spans="1:33">
      <c r="A1280" s="9"/>
      <c r="B1280" s="215"/>
      <c r="C1280" s="215"/>
      <c r="D1280" s="215"/>
      <c r="E1280" s="215"/>
      <c r="F1280" s="215"/>
      <c r="G1280" s="215"/>
      <c r="H1280" s="215"/>
      <c r="I1280" s="215"/>
      <c r="J1280" s="215"/>
      <c r="K1280" s="215"/>
      <c r="L1280" s="111"/>
      <c r="M1280" s="111"/>
      <c r="N1280" s="111"/>
      <c r="O1280" s="111"/>
      <c r="P1280" s="111"/>
      <c r="Q1280" s="111"/>
      <c r="R1280" s="111"/>
      <c r="S1280" s="712"/>
      <c r="T1280" s="111"/>
      <c r="U1280" s="111"/>
      <c r="V1280" s="111"/>
      <c r="W1280" s="111"/>
      <c r="X1280" s="132"/>
      <c r="Y1280" s="133"/>
      <c r="Z1280" s="132"/>
      <c r="AA1280" s="132"/>
      <c r="AB1280" s="133"/>
      <c r="AC1280" s="132"/>
      <c r="AD1280" s="132"/>
      <c r="AE1280" s="133"/>
      <c r="AF1280" s="132"/>
      <c r="AG1280" s="67"/>
    </row>
    <row r="1281" spans="1:33">
      <c r="A1281" s="725">
        <v>75</v>
      </c>
      <c r="B1281" s="726" t="e" vm="1">
        <f>'[2]AUN Budget'!$E$317</f>
        <v>#VALUE!</v>
      </c>
      <c r="C1281" s="731"/>
      <c r="D1281" s="731"/>
      <c r="E1281" s="731"/>
      <c r="F1281" s="731"/>
      <c r="G1281" s="731"/>
      <c r="H1281" s="731"/>
      <c r="I1281" s="731"/>
      <c r="J1281" s="731"/>
      <c r="K1281" s="731"/>
      <c r="L1281" s="731"/>
      <c r="M1281" s="111"/>
      <c r="N1281" s="111"/>
      <c r="O1281" s="111"/>
      <c r="P1281" s="111"/>
      <c r="Q1281" s="111"/>
      <c r="R1281" s="111"/>
      <c r="S1281" s="712"/>
      <c r="T1281" s="111"/>
      <c r="U1281" s="111"/>
      <c r="V1281" s="111"/>
      <c r="W1281" s="111"/>
      <c r="X1281" s="132"/>
      <c r="Y1281" s="111"/>
      <c r="Z1281" s="111"/>
      <c r="AA1281" s="111"/>
      <c r="AB1281" s="111"/>
      <c r="AC1281" s="111"/>
      <c r="AD1281" s="111"/>
      <c r="AE1281" s="111"/>
      <c r="AF1281" s="111"/>
      <c r="AG1281" s="67"/>
    </row>
    <row r="1282" spans="1:33">
      <c r="A1282" s="134" t="s">
        <v>171</v>
      </c>
      <c r="B1282" s="143" t="s">
        <v>755</v>
      </c>
      <c r="C1282" s="113" t="s">
        <v>1304</v>
      </c>
      <c r="D1282" s="113" t="s">
        <v>1305</v>
      </c>
      <c r="E1282" s="113" t="s">
        <v>697</v>
      </c>
      <c r="F1282" s="113" t="s">
        <v>1388</v>
      </c>
      <c r="G1282" s="113" t="s">
        <v>1307</v>
      </c>
      <c r="H1282" s="113" t="s">
        <v>1308</v>
      </c>
      <c r="I1282" s="113" t="s">
        <v>1309</v>
      </c>
      <c r="J1282" s="113" t="s">
        <v>972</v>
      </c>
      <c r="K1282" s="113" t="s">
        <v>973</v>
      </c>
      <c r="L1282" s="113" t="s">
        <v>974</v>
      </c>
      <c r="M1282" s="111"/>
      <c r="N1282" s="111"/>
      <c r="O1282" s="111"/>
      <c r="P1282" s="111"/>
      <c r="Q1282" s="111"/>
      <c r="R1282" s="111"/>
      <c r="S1282" s="712"/>
      <c r="T1282" s="159" t="s">
        <v>387</v>
      </c>
      <c r="U1282" s="159" t="s">
        <v>388</v>
      </c>
      <c r="V1282" s="159" t="s">
        <v>934</v>
      </c>
      <c r="W1282" s="160" t="s">
        <v>935</v>
      </c>
      <c r="X1282" s="161" t="s">
        <v>936</v>
      </c>
      <c r="Y1282" s="162" t="s">
        <v>937</v>
      </c>
      <c r="Z1282" s="161" t="s">
        <v>938</v>
      </c>
      <c r="AA1282" s="161" t="s">
        <v>939</v>
      </c>
      <c r="AB1282" s="162" t="s">
        <v>940</v>
      </c>
      <c r="AC1282" s="161" t="s">
        <v>941</v>
      </c>
      <c r="AD1282" s="161" t="s">
        <v>942</v>
      </c>
      <c r="AE1282" s="162" t="s">
        <v>943</v>
      </c>
      <c r="AF1282" s="161" t="s">
        <v>944</v>
      </c>
      <c r="AG1282" s="67"/>
    </row>
    <row r="1283" spans="1:33">
      <c r="A1283" s="134"/>
      <c r="B1283" s="153">
        <v>1</v>
      </c>
      <c r="C1283" s="245"/>
      <c r="D1283" s="245" t="s">
        <v>1674</v>
      </c>
      <c r="E1283" s="245" t="s">
        <v>1675</v>
      </c>
      <c r="F1283" s="221">
        <v>9299</v>
      </c>
      <c r="G1283" s="164">
        <v>18</v>
      </c>
      <c r="H1283" s="164">
        <v>18</v>
      </c>
      <c r="I1283" s="164">
        <v>18</v>
      </c>
      <c r="J1283" s="164">
        <f t="shared" ref="J1283:L1283" si="1128">$F1283*G1283</f>
        <v>167382</v>
      </c>
      <c r="K1283" s="164">
        <f t="shared" si="1128"/>
        <v>167382</v>
      </c>
      <c r="L1283" s="164">
        <f t="shared" si="1128"/>
        <v>167382</v>
      </c>
      <c r="M1283" s="111"/>
      <c r="N1283" s="111"/>
      <c r="O1283" s="111"/>
      <c r="P1283" s="111"/>
      <c r="Q1283" s="111"/>
      <c r="R1283" s="111"/>
      <c r="S1283" s="712"/>
      <c r="T1283" s="169" t="s">
        <v>946</v>
      </c>
      <c r="U1283" s="169" t="s">
        <v>946</v>
      </c>
      <c r="V1283" s="121" t="s">
        <v>848</v>
      </c>
      <c r="W1283" s="164" t="s">
        <v>947</v>
      </c>
      <c r="X1283" s="170">
        <f>'Assumptions TRC_AUN'!$E$33</f>
        <v>3334</v>
      </c>
      <c r="Y1283" s="200">
        <f t="shared" ref="Y1283:Y1289" si="1129">Z1283/X1283</f>
        <v>50.204559088182364</v>
      </c>
      <c r="Z1283" s="167">
        <f t="shared" ref="Z1283:Z1289" si="1130">J1283</f>
        <v>167382</v>
      </c>
      <c r="AA1283" s="170">
        <f t="shared" ref="AA1283:AA1288" si="1131">X1283</f>
        <v>3334</v>
      </c>
      <c r="AB1283" s="200">
        <f t="shared" ref="AB1283:AB1289" si="1132">AC1283/AA1283</f>
        <v>50.204559088182364</v>
      </c>
      <c r="AC1283" s="167">
        <f t="shared" ref="AC1283:AC1289" si="1133">K1283</f>
        <v>167382</v>
      </c>
      <c r="AD1283" s="170">
        <f t="shared" ref="AD1283:AD1288" si="1134">AA1283</f>
        <v>3334</v>
      </c>
      <c r="AE1283" s="200">
        <f t="shared" ref="AE1283:AE1289" si="1135">AF1283/AD1283</f>
        <v>50.204559088182364</v>
      </c>
      <c r="AF1283" s="167">
        <f t="shared" ref="AF1283:AF1289" si="1136">L1283</f>
        <v>167382</v>
      </c>
      <c r="AG1283" s="67"/>
    </row>
    <row r="1284" spans="1:33">
      <c r="A1284" s="134"/>
      <c r="B1284" s="153">
        <v>2</v>
      </c>
      <c r="C1284" s="245"/>
      <c r="D1284" s="245" t="s">
        <v>1676</v>
      </c>
      <c r="E1284" s="245" t="s">
        <v>1675</v>
      </c>
      <c r="F1284" s="221">
        <v>15498</v>
      </c>
      <c r="G1284" s="164">
        <v>3</v>
      </c>
      <c r="H1284" s="164">
        <v>3</v>
      </c>
      <c r="I1284" s="164">
        <v>2</v>
      </c>
      <c r="J1284" s="164">
        <f t="shared" ref="J1284:L1284" si="1137">$F1284*G1284</f>
        <v>46494</v>
      </c>
      <c r="K1284" s="164">
        <f t="shared" si="1137"/>
        <v>46494</v>
      </c>
      <c r="L1284" s="164">
        <f t="shared" si="1137"/>
        <v>30996</v>
      </c>
      <c r="M1284" s="111"/>
      <c r="N1284" s="111"/>
      <c r="O1284" s="111"/>
      <c r="P1284" s="111"/>
      <c r="Q1284" s="111"/>
      <c r="R1284" s="111"/>
      <c r="S1284" s="712"/>
      <c r="T1284" s="169" t="s">
        <v>946</v>
      </c>
      <c r="U1284" s="169" t="s">
        <v>946</v>
      </c>
      <c r="V1284" s="121" t="s">
        <v>848</v>
      </c>
      <c r="W1284" s="164" t="s">
        <v>947</v>
      </c>
      <c r="X1284" s="170">
        <f>'Assumptions TRC_AUN'!$E$33</f>
        <v>3334</v>
      </c>
      <c r="Y1284" s="200">
        <f t="shared" si="1129"/>
        <v>13.945410917816437</v>
      </c>
      <c r="Z1284" s="167">
        <f t="shared" si="1130"/>
        <v>46494</v>
      </c>
      <c r="AA1284" s="170">
        <f t="shared" si="1131"/>
        <v>3334</v>
      </c>
      <c r="AB1284" s="200">
        <f t="shared" si="1132"/>
        <v>13.945410917816437</v>
      </c>
      <c r="AC1284" s="167">
        <f t="shared" si="1133"/>
        <v>46494</v>
      </c>
      <c r="AD1284" s="170">
        <f t="shared" si="1134"/>
        <v>3334</v>
      </c>
      <c r="AE1284" s="200">
        <f t="shared" si="1135"/>
        <v>9.2969406118776252</v>
      </c>
      <c r="AF1284" s="167">
        <f t="shared" si="1136"/>
        <v>30996</v>
      </c>
      <c r="AG1284" s="67"/>
    </row>
    <row r="1285" spans="1:33">
      <c r="A1285" s="134"/>
      <c r="B1285" s="153">
        <v>3</v>
      </c>
      <c r="C1285" s="245"/>
      <c r="D1285" s="245" t="s">
        <v>1677</v>
      </c>
      <c r="E1285" s="245" t="s">
        <v>1675</v>
      </c>
      <c r="F1285" s="221">
        <v>2273</v>
      </c>
      <c r="G1285" s="164">
        <v>100</v>
      </c>
      <c r="H1285" s="164">
        <v>100</v>
      </c>
      <c r="I1285" s="164">
        <v>100</v>
      </c>
      <c r="J1285" s="164">
        <f t="shared" ref="J1285:L1285" si="1138">$F1285*G1285</f>
        <v>227300</v>
      </c>
      <c r="K1285" s="164">
        <f t="shared" si="1138"/>
        <v>227300</v>
      </c>
      <c r="L1285" s="164">
        <f t="shared" si="1138"/>
        <v>227300</v>
      </c>
      <c r="M1285" s="111"/>
      <c r="N1285" s="111"/>
      <c r="O1285" s="111"/>
      <c r="P1285" s="111"/>
      <c r="Q1285" s="111"/>
      <c r="R1285" s="111"/>
      <c r="S1285" s="712"/>
      <c r="T1285" s="169" t="s">
        <v>946</v>
      </c>
      <c r="U1285" s="169" t="s">
        <v>946</v>
      </c>
      <c r="V1285" s="121" t="s">
        <v>848</v>
      </c>
      <c r="W1285" s="164" t="s">
        <v>947</v>
      </c>
      <c r="X1285" s="170">
        <f>'Assumptions TRC_AUN'!$E$33</f>
        <v>3334</v>
      </c>
      <c r="Y1285" s="200">
        <f t="shared" si="1129"/>
        <v>68.17636472705459</v>
      </c>
      <c r="Z1285" s="167">
        <f t="shared" si="1130"/>
        <v>227300</v>
      </c>
      <c r="AA1285" s="170">
        <f t="shared" si="1131"/>
        <v>3334</v>
      </c>
      <c r="AB1285" s="200">
        <f t="shared" si="1132"/>
        <v>68.17636472705459</v>
      </c>
      <c r="AC1285" s="167">
        <f t="shared" si="1133"/>
        <v>227300</v>
      </c>
      <c r="AD1285" s="170">
        <f t="shared" si="1134"/>
        <v>3334</v>
      </c>
      <c r="AE1285" s="200">
        <f t="shared" si="1135"/>
        <v>68.17636472705459</v>
      </c>
      <c r="AF1285" s="167">
        <f t="shared" si="1136"/>
        <v>227300</v>
      </c>
      <c r="AG1285" s="67"/>
    </row>
    <row r="1286" spans="1:33">
      <c r="A1286" s="134"/>
      <c r="B1286" s="153">
        <v>4</v>
      </c>
      <c r="C1286" s="245"/>
      <c r="D1286" s="245" t="s">
        <v>1678</v>
      </c>
      <c r="E1286" s="245" t="s">
        <v>1675</v>
      </c>
      <c r="F1286" s="221">
        <v>1550</v>
      </c>
      <c r="G1286" s="164">
        <v>1500</v>
      </c>
      <c r="H1286" s="164">
        <v>1600</v>
      </c>
      <c r="I1286" s="164">
        <v>1700</v>
      </c>
      <c r="J1286" s="164">
        <f t="shared" ref="J1286:L1286" si="1139">$F1286*G1286</f>
        <v>2325000</v>
      </c>
      <c r="K1286" s="164">
        <f t="shared" si="1139"/>
        <v>2480000</v>
      </c>
      <c r="L1286" s="164">
        <f t="shared" si="1139"/>
        <v>2635000</v>
      </c>
      <c r="M1286" s="111"/>
      <c r="N1286" s="111"/>
      <c r="O1286" s="111"/>
      <c r="P1286" s="111"/>
      <c r="Q1286" s="111"/>
      <c r="R1286" s="111"/>
      <c r="S1286" s="712"/>
      <c r="T1286" s="169" t="s">
        <v>946</v>
      </c>
      <c r="U1286" s="169" t="s">
        <v>946</v>
      </c>
      <c r="V1286" s="121" t="s">
        <v>848</v>
      </c>
      <c r="W1286" s="164" t="s">
        <v>947</v>
      </c>
      <c r="X1286" s="170">
        <f>'Assumptions TRC_AUN'!$E$33</f>
        <v>3334</v>
      </c>
      <c r="Y1286" s="200">
        <f t="shared" si="1129"/>
        <v>697.36052789442112</v>
      </c>
      <c r="Z1286" s="167">
        <f t="shared" si="1130"/>
        <v>2325000</v>
      </c>
      <c r="AA1286" s="170">
        <f t="shared" si="1131"/>
        <v>3334</v>
      </c>
      <c r="AB1286" s="200">
        <f t="shared" si="1132"/>
        <v>743.8512297540492</v>
      </c>
      <c r="AC1286" s="167">
        <f t="shared" si="1133"/>
        <v>2480000</v>
      </c>
      <c r="AD1286" s="170">
        <f t="shared" si="1134"/>
        <v>3334</v>
      </c>
      <c r="AE1286" s="200">
        <f t="shared" si="1135"/>
        <v>790.34193161367727</v>
      </c>
      <c r="AF1286" s="167">
        <f t="shared" si="1136"/>
        <v>2635000</v>
      </c>
      <c r="AG1286" s="67"/>
    </row>
    <row r="1287" spans="1:33">
      <c r="A1287" s="134"/>
      <c r="B1287" s="153">
        <v>5</v>
      </c>
      <c r="C1287" s="245"/>
      <c r="D1287" s="245" t="s">
        <v>1679</v>
      </c>
      <c r="E1287" s="245" t="s">
        <v>1362</v>
      </c>
      <c r="F1287" s="221">
        <v>413</v>
      </c>
      <c r="G1287" s="164">
        <v>290</v>
      </c>
      <c r="H1287" s="164">
        <v>275</v>
      </c>
      <c r="I1287" s="164">
        <v>270</v>
      </c>
      <c r="J1287" s="164">
        <f t="shared" ref="J1287:L1287" si="1140">$F1287*G1287</f>
        <v>119770</v>
      </c>
      <c r="K1287" s="164">
        <f t="shared" si="1140"/>
        <v>113575</v>
      </c>
      <c r="L1287" s="164">
        <f t="shared" si="1140"/>
        <v>111510</v>
      </c>
      <c r="M1287" s="111"/>
      <c r="N1287" s="111"/>
      <c r="O1287" s="111"/>
      <c r="P1287" s="111"/>
      <c r="Q1287" s="111"/>
      <c r="R1287" s="111"/>
      <c r="S1287" s="712"/>
      <c r="T1287" s="169" t="s">
        <v>946</v>
      </c>
      <c r="U1287" s="169" t="s">
        <v>946</v>
      </c>
      <c r="V1287" s="121" t="s">
        <v>848</v>
      </c>
      <c r="W1287" s="164" t="s">
        <v>947</v>
      </c>
      <c r="X1287" s="170">
        <f>'Assumptions TRC_AUN'!$E$33</f>
        <v>3334</v>
      </c>
      <c r="Y1287" s="200">
        <f t="shared" si="1129"/>
        <v>35.923815236952606</v>
      </c>
      <c r="Z1287" s="167">
        <f t="shared" si="1130"/>
        <v>119770</v>
      </c>
      <c r="AA1287" s="170">
        <f t="shared" si="1131"/>
        <v>3334</v>
      </c>
      <c r="AB1287" s="200">
        <f t="shared" si="1132"/>
        <v>34.065686862627473</v>
      </c>
      <c r="AC1287" s="167">
        <f t="shared" si="1133"/>
        <v>113575</v>
      </c>
      <c r="AD1287" s="170">
        <f t="shared" si="1134"/>
        <v>3334</v>
      </c>
      <c r="AE1287" s="200">
        <f t="shared" si="1135"/>
        <v>33.446310737852428</v>
      </c>
      <c r="AF1287" s="167">
        <f t="shared" si="1136"/>
        <v>111510</v>
      </c>
      <c r="AG1287" s="67"/>
    </row>
    <row r="1288" spans="1:33">
      <c r="A1288" s="134"/>
      <c r="B1288" s="153">
        <v>6</v>
      </c>
      <c r="C1288" s="121" t="s">
        <v>1001</v>
      </c>
      <c r="D1288" s="245"/>
      <c r="E1288" s="245"/>
      <c r="F1288" s="264"/>
      <c r="G1288" s="164"/>
      <c r="H1288" s="164"/>
      <c r="I1288" s="164"/>
      <c r="J1288" s="164">
        <f t="shared" ref="J1288:L1288" si="1141">SUM(J1283:J1287)*10%</f>
        <v>288594.60000000003</v>
      </c>
      <c r="K1288" s="164">
        <f t="shared" si="1141"/>
        <v>303475.10000000003</v>
      </c>
      <c r="L1288" s="164">
        <f t="shared" si="1141"/>
        <v>317218.80000000005</v>
      </c>
      <c r="M1288" s="111"/>
      <c r="N1288" s="111"/>
      <c r="O1288" s="111"/>
      <c r="P1288" s="111"/>
      <c r="Q1288" s="111"/>
      <c r="R1288" s="111"/>
      <c r="S1288" s="712"/>
      <c r="T1288" s="169" t="s">
        <v>946</v>
      </c>
      <c r="U1288" s="169" t="s">
        <v>946</v>
      </c>
      <c r="V1288" s="121" t="s">
        <v>875</v>
      </c>
      <c r="W1288" s="121" t="s">
        <v>961</v>
      </c>
      <c r="X1288" s="170">
        <f>'Assumptions HR_AUN'!$D$4*3</f>
        <v>88211.039066799218</v>
      </c>
      <c r="Y1288" s="200">
        <f t="shared" si="1129"/>
        <v>3.2716381424943557</v>
      </c>
      <c r="Z1288" s="167">
        <f t="shared" si="1130"/>
        <v>288594.60000000003</v>
      </c>
      <c r="AA1288" s="170">
        <f t="shared" si="1131"/>
        <v>88211.039066799218</v>
      </c>
      <c r="AB1288" s="200">
        <f t="shared" si="1132"/>
        <v>3.4403301810127038</v>
      </c>
      <c r="AC1288" s="167">
        <f t="shared" si="1133"/>
        <v>303475.10000000003</v>
      </c>
      <c r="AD1288" s="170">
        <f t="shared" si="1134"/>
        <v>88211.039066799218</v>
      </c>
      <c r="AE1288" s="200">
        <f t="shared" si="1135"/>
        <v>3.5961349436070131</v>
      </c>
      <c r="AF1288" s="167">
        <f t="shared" si="1136"/>
        <v>317218.80000000005</v>
      </c>
      <c r="AG1288" s="67"/>
    </row>
    <row r="1289" spans="1:33">
      <c r="A1289" s="134"/>
      <c r="B1289" s="153">
        <v>7</v>
      </c>
      <c r="C1289" s="121" t="s">
        <v>962</v>
      </c>
      <c r="D1289" s="245"/>
      <c r="E1289" s="245"/>
      <c r="F1289" s="264"/>
      <c r="G1289" s="221"/>
      <c r="H1289" s="221"/>
      <c r="I1289" s="221"/>
      <c r="J1289" s="164">
        <f t="shared" ref="J1289:L1289" si="1142">SUM(J1283:J1287)*15%</f>
        <v>432891.89999999997</v>
      </c>
      <c r="K1289" s="164">
        <f t="shared" si="1142"/>
        <v>455212.64999999997</v>
      </c>
      <c r="L1289" s="164">
        <f t="shared" si="1142"/>
        <v>475828.19999999995</v>
      </c>
      <c r="M1289" s="111"/>
      <c r="N1289" s="111"/>
      <c r="O1289" s="111"/>
      <c r="P1289" s="111"/>
      <c r="Q1289" s="111"/>
      <c r="R1289" s="111"/>
      <c r="S1289" s="712"/>
      <c r="T1289" s="169" t="s">
        <v>946</v>
      </c>
      <c r="U1289" s="169" t="s">
        <v>946</v>
      </c>
      <c r="V1289" s="121" t="s">
        <v>881</v>
      </c>
      <c r="W1289" s="121" t="s">
        <v>964</v>
      </c>
      <c r="X1289" s="170">
        <f>J1289/4</f>
        <v>108222.97499999999</v>
      </c>
      <c r="Y1289" s="200">
        <f t="shared" si="1129"/>
        <v>4</v>
      </c>
      <c r="Z1289" s="167">
        <f t="shared" si="1130"/>
        <v>432891.89999999997</v>
      </c>
      <c r="AA1289" s="170">
        <f>K1289/4</f>
        <v>113803.16249999999</v>
      </c>
      <c r="AB1289" s="200">
        <f t="shared" si="1132"/>
        <v>4</v>
      </c>
      <c r="AC1289" s="167">
        <f t="shared" si="1133"/>
        <v>455212.64999999997</v>
      </c>
      <c r="AD1289" s="170">
        <f>L1289/4</f>
        <v>118957.04999999999</v>
      </c>
      <c r="AE1289" s="200">
        <f t="shared" si="1135"/>
        <v>4</v>
      </c>
      <c r="AF1289" s="167">
        <f t="shared" si="1136"/>
        <v>475828.19999999995</v>
      </c>
      <c r="AG1289" s="67"/>
    </row>
    <row r="1290" spans="1:33">
      <c r="A1290" s="9"/>
      <c r="B1290" s="215"/>
      <c r="C1290" s="215"/>
      <c r="D1290" s="215"/>
      <c r="E1290" s="215"/>
      <c r="F1290" s="215"/>
      <c r="G1290" s="215"/>
      <c r="H1290" s="215"/>
      <c r="I1290" s="215"/>
      <c r="J1290" s="215"/>
      <c r="K1290" s="215"/>
      <c r="L1290" s="215"/>
      <c r="M1290" s="111"/>
      <c r="N1290" s="111"/>
      <c r="O1290" s="111"/>
      <c r="P1290" s="111"/>
      <c r="Q1290" s="111"/>
      <c r="R1290" s="111"/>
      <c r="S1290" s="712"/>
      <c r="T1290" s="111"/>
      <c r="U1290" s="111"/>
      <c r="V1290" s="111"/>
      <c r="W1290" s="111"/>
      <c r="X1290" s="132"/>
      <c r="Y1290" s="133"/>
      <c r="Z1290" s="132"/>
      <c r="AA1290" s="132"/>
      <c r="AB1290" s="133"/>
      <c r="AC1290" s="132"/>
      <c r="AD1290" s="132"/>
      <c r="AE1290" s="133"/>
      <c r="AF1290" s="132"/>
      <c r="AG1290" s="67"/>
    </row>
    <row r="1291" spans="1:33">
      <c r="A1291" s="9"/>
      <c r="B1291" s="215"/>
      <c r="C1291" s="215"/>
      <c r="D1291" s="215"/>
      <c r="E1291" s="215"/>
      <c r="F1291" s="215"/>
      <c r="G1291" s="215"/>
      <c r="H1291" s="215"/>
      <c r="I1291" s="215"/>
      <c r="J1291" s="215"/>
      <c r="K1291" s="215"/>
      <c r="L1291" s="111"/>
      <c r="M1291" s="111"/>
      <c r="N1291" s="111"/>
      <c r="O1291" s="111"/>
      <c r="P1291" s="111"/>
      <c r="Q1291" s="111"/>
      <c r="R1291" s="111"/>
      <c r="S1291" s="712"/>
      <c r="T1291" s="111"/>
      <c r="U1291" s="111"/>
      <c r="V1291" s="111"/>
      <c r="W1291" s="111"/>
      <c r="X1291" s="132"/>
      <c r="Y1291" s="133"/>
      <c r="Z1291" s="132"/>
      <c r="AA1291" s="132"/>
      <c r="AB1291" s="133"/>
      <c r="AC1291" s="132"/>
      <c r="AD1291" s="132"/>
      <c r="AE1291" s="133"/>
      <c r="AF1291" s="132"/>
      <c r="AG1291" s="67"/>
    </row>
    <row r="1292" spans="1:33">
      <c r="A1292" s="9"/>
      <c r="B1292" s="215"/>
      <c r="C1292" s="215"/>
      <c r="D1292" s="215"/>
      <c r="E1292" s="215"/>
      <c r="F1292" s="215"/>
      <c r="G1292" s="215"/>
      <c r="H1292" s="215"/>
      <c r="I1292" s="215"/>
      <c r="J1292" s="215"/>
      <c r="K1292" s="215"/>
      <c r="L1292" s="111"/>
      <c r="M1292" s="111"/>
      <c r="N1292" s="111"/>
      <c r="O1292" s="111"/>
      <c r="P1292" s="111"/>
      <c r="Q1292" s="111"/>
      <c r="R1292" s="111"/>
      <c r="S1292" s="712"/>
      <c r="T1292" s="111"/>
      <c r="U1292" s="111"/>
      <c r="V1292" s="111"/>
      <c r="W1292" s="111"/>
      <c r="X1292" s="132"/>
      <c r="Y1292" s="133"/>
      <c r="Z1292" s="132"/>
      <c r="AA1292" s="132"/>
      <c r="AB1292" s="133"/>
      <c r="AC1292" s="132"/>
      <c r="AD1292" s="132"/>
      <c r="AE1292" s="133"/>
      <c r="AF1292" s="132"/>
      <c r="AG1292" s="67"/>
    </row>
    <row r="1293" spans="1:33">
      <c r="A1293" s="725">
        <v>76</v>
      </c>
      <c r="B1293" s="902" t="e" vm="1">
        <f>'[2]AUN Budget'!$E$321</f>
        <v>#VALUE!</v>
      </c>
      <c r="C1293" s="898"/>
      <c r="D1293" s="900">
        <v>2021</v>
      </c>
      <c r="E1293" s="898"/>
      <c r="F1293" s="898"/>
      <c r="G1293" s="898"/>
      <c r="H1293" s="898"/>
      <c r="I1293" s="898"/>
      <c r="J1293" s="900">
        <v>2022</v>
      </c>
      <c r="K1293" s="898"/>
      <c r="L1293" s="898"/>
      <c r="M1293" s="898"/>
      <c r="N1293" s="898"/>
      <c r="O1293" s="900">
        <v>2023</v>
      </c>
      <c r="P1293" s="898"/>
      <c r="Q1293" s="898"/>
      <c r="R1293" s="898"/>
      <c r="S1293" s="898"/>
      <c r="T1293" s="111"/>
      <c r="U1293" s="111"/>
      <c r="V1293" s="111"/>
      <c r="W1293" s="111"/>
      <c r="X1293" s="132"/>
      <c r="Y1293" s="133"/>
      <c r="Z1293" s="132"/>
      <c r="AA1293" s="132"/>
      <c r="AB1293" s="133"/>
      <c r="AC1293" s="132"/>
      <c r="AD1293" s="132"/>
      <c r="AE1293" s="133"/>
      <c r="AF1293" s="132"/>
      <c r="AG1293" s="67"/>
    </row>
    <row r="1294" spans="1:33">
      <c r="A1294" s="134" t="s">
        <v>116</v>
      </c>
      <c r="B1294" s="113" t="s">
        <v>755</v>
      </c>
      <c r="C1294" s="113" t="s">
        <v>756</v>
      </c>
      <c r="D1294" s="113" t="s">
        <v>697</v>
      </c>
      <c r="E1294" s="113" t="s">
        <v>757</v>
      </c>
      <c r="F1294" s="113" t="s">
        <v>931</v>
      </c>
      <c r="G1294" s="113" t="s">
        <v>759</v>
      </c>
      <c r="H1294" s="113" t="s">
        <v>932</v>
      </c>
      <c r="I1294" s="113" t="s">
        <v>933</v>
      </c>
      <c r="J1294" s="113" t="s">
        <v>757</v>
      </c>
      <c r="K1294" s="113" t="s">
        <v>931</v>
      </c>
      <c r="L1294" s="113" t="s">
        <v>759</v>
      </c>
      <c r="M1294" s="113" t="s">
        <v>932</v>
      </c>
      <c r="N1294" s="113" t="s">
        <v>933</v>
      </c>
      <c r="O1294" s="113" t="s">
        <v>757</v>
      </c>
      <c r="P1294" s="113" t="s">
        <v>931</v>
      </c>
      <c r="Q1294" s="113" t="s">
        <v>759</v>
      </c>
      <c r="R1294" s="113" t="s">
        <v>932</v>
      </c>
      <c r="S1294" s="304" t="s">
        <v>933</v>
      </c>
      <c r="T1294" s="159" t="s">
        <v>387</v>
      </c>
      <c r="U1294" s="159" t="s">
        <v>388</v>
      </c>
      <c r="V1294" s="159" t="s">
        <v>934</v>
      </c>
      <c r="W1294" s="160" t="s">
        <v>935</v>
      </c>
      <c r="X1294" s="161" t="s">
        <v>936</v>
      </c>
      <c r="Y1294" s="162" t="s">
        <v>937</v>
      </c>
      <c r="Z1294" s="161" t="s">
        <v>938</v>
      </c>
      <c r="AA1294" s="161" t="s">
        <v>939</v>
      </c>
      <c r="AB1294" s="162" t="s">
        <v>940</v>
      </c>
      <c r="AC1294" s="161" t="s">
        <v>941</v>
      </c>
      <c r="AD1294" s="161" t="s">
        <v>942</v>
      </c>
      <c r="AE1294" s="162" t="s">
        <v>943</v>
      </c>
      <c r="AF1294" s="161" t="s">
        <v>944</v>
      </c>
      <c r="AG1294" s="67"/>
    </row>
    <row r="1295" spans="1:33">
      <c r="A1295" s="134"/>
      <c r="B1295" s="153">
        <v>1</v>
      </c>
      <c r="C1295" s="121" t="s">
        <v>1680</v>
      </c>
      <c r="D1295" s="121" t="s">
        <v>1182</v>
      </c>
      <c r="E1295" s="164">
        <v>23500</v>
      </c>
      <c r="F1295" s="165">
        <v>0.85</v>
      </c>
      <c r="G1295" s="164">
        <v>1</v>
      </c>
      <c r="H1295" s="164">
        <v>12</v>
      </c>
      <c r="I1295" s="167">
        <f t="shared" ref="I1295:I1306" si="1143">E1295*G1295*F1295*H1295</f>
        <v>239700</v>
      </c>
      <c r="J1295" s="164">
        <f t="shared" ref="J1295:J1308" si="1144">E1295</f>
        <v>23500</v>
      </c>
      <c r="K1295" s="165">
        <v>0.75</v>
      </c>
      <c r="L1295" s="164">
        <v>1</v>
      </c>
      <c r="M1295" s="164">
        <v>12</v>
      </c>
      <c r="N1295" s="167">
        <f t="shared" ref="N1295:N1306" si="1145">J1295*L1295*K1295*M1295</f>
        <v>211500</v>
      </c>
      <c r="O1295" s="164">
        <f t="shared" ref="O1295:O1308" si="1146">J1295</f>
        <v>23500</v>
      </c>
      <c r="P1295" s="165">
        <v>0.75</v>
      </c>
      <c r="Q1295" s="166">
        <v>1</v>
      </c>
      <c r="R1295" s="153">
        <v>12</v>
      </c>
      <c r="S1295" s="305">
        <f t="shared" ref="S1295:S1306" si="1147">O1295*Q1295*P1295*R1295</f>
        <v>211500</v>
      </c>
      <c r="T1295" s="169" t="s">
        <v>946</v>
      </c>
      <c r="U1295" s="169" t="s">
        <v>946</v>
      </c>
      <c r="V1295" s="121" t="s">
        <v>977</v>
      </c>
      <c r="W1295" s="121" t="s">
        <v>961</v>
      </c>
      <c r="X1295" s="170">
        <f>'Assumptions HR_AUN'!$D$4*3</f>
        <v>88211.039066799218</v>
      </c>
      <c r="Y1295" s="200">
        <f t="shared" ref="Y1295:Y1310" si="1148">I1295/X1295</f>
        <v>2.7173469730753692</v>
      </c>
      <c r="Z1295" s="167">
        <f t="shared" ref="Z1295:Z1310" si="1149">X1295*Y1295</f>
        <v>239700</v>
      </c>
      <c r="AA1295" s="170">
        <f>'Assumptions HR_AUN'!$D$4*3</f>
        <v>88211.039066799218</v>
      </c>
      <c r="AB1295" s="200">
        <f t="shared" ref="AB1295:AB1308" si="1150">N1295/AA1295</f>
        <v>2.3976590938900317</v>
      </c>
      <c r="AC1295" s="167">
        <f t="shared" ref="AC1295:AC1310" si="1151">AA1295*AB1295</f>
        <v>211500</v>
      </c>
      <c r="AD1295" s="170">
        <f>'Assumptions HR_AUN'!$D$4*3</f>
        <v>88211.039066799218</v>
      </c>
      <c r="AE1295" s="200">
        <f t="shared" ref="AE1295:AE1310" si="1152">S1295/AD1295</f>
        <v>2.3976590938900317</v>
      </c>
      <c r="AF1295" s="167">
        <f t="shared" ref="AF1295:AF1310" si="1153">AD1295*AE1295</f>
        <v>211500</v>
      </c>
      <c r="AG1295" s="67"/>
    </row>
    <row r="1296" spans="1:33">
      <c r="A1296" s="134"/>
      <c r="B1296" s="153">
        <v>2</v>
      </c>
      <c r="C1296" s="121" t="s">
        <v>1681</v>
      </c>
      <c r="D1296" s="121" t="s">
        <v>1182</v>
      </c>
      <c r="E1296" s="164">
        <v>23500</v>
      </c>
      <c r="F1296" s="165">
        <v>0.85</v>
      </c>
      <c r="G1296" s="164">
        <v>1</v>
      </c>
      <c r="H1296" s="164">
        <v>12</v>
      </c>
      <c r="I1296" s="167">
        <f t="shared" si="1143"/>
        <v>239700</v>
      </c>
      <c r="J1296" s="164">
        <f t="shared" si="1144"/>
        <v>23500</v>
      </c>
      <c r="K1296" s="165">
        <v>0.85</v>
      </c>
      <c r="L1296" s="164">
        <v>1</v>
      </c>
      <c r="M1296" s="164">
        <v>12</v>
      </c>
      <c r="N1296" s="167">
        <f t="shared" si="1145"/>
        <v>239700</v>
      </c>
      <c r="O1296" s="164">
        <f t="shared" si="1146"/>
        <v>23500</v>
      </c>
      <c r="P1296" s="165">
        <v>0.85</v>
      </c>
      <c r="Q1296" s="176">
        <v>1</v>
      </c>
      <c r="R1296" s="153">
        <v>12</v>
      </c>
      <c r="S1296" s="305">
        <f t="shared" si="1147"/>
        <v>239700</v>
      </c>
      <c r="T1296" s="169" t="s">
        <v>946</v>
      </c>
      <c r="U1296" s="169" t="s">
        <v>946</v>
      </c>
      <c r="V1296" s="121" t="s">
        <v>977</v>
      </c>
      <c r="W1296" s="121" t="s">
        <v>961</v>
      </c>
      <c r="X1296" s="170">
        <f>'Assumptions HR_AUN'!$D$4*3</f>
        <v>88211.039066799218</v>
      </c>
      <c r="Y1296" s="200">
        <f t="shared" si="1148"/>
        <v>2.7173469730753692</v>
      </c>
      <c r="Z1296" s="167">
        <f t="shared" si="1149"/>
        <v>239700</v>
      </c>
      <c r="AA1296" s="170">
        <f>'Assumptions HR_AUN'!$D$4*3</f>
        <v>88211.039066799218</v>
      </c>
      <c r="AB1296" s="200">
        <f t="shared" si="1150"/>
        <v>2.7173469730753692</v>
      </c>
      <c r="AC1296" s="167">
        <f t="shared" si="1151"/>
        <v>239700</v>
      </c>
      <c r="AD1296" s="170">
        <f>'Assumptions HR_AUN'!$D$4*3</f>
        <v>88211.039066799218</v>
      </c>
      <c r="AE1296" s="200">
        <f t="shared" si="1152"/>
        <v>2.7173469730753692</v>
      </c>
      <c r="AF1296" s="167">
        <f t="shared" si="1153"/>
        <v>239700</v>
      </c>
      <c r="AG1296" s="67"/>
    </row>
    <row r="1297" spans="1:33">
      <c r="A1297" s="134"/>
      <c r="B1297" s="153">
        <v>3</v>
      </c>
      <c r="C1297" s="121" t="s">
        <v>1682</v>
      </c>
      <c r="D1297" s="121" t="s">
        <v>1182</v>
      </c>
      <c r="E1297" s="164">
        <v>13500</v>
      </c>
      <c r="F1297" s="165">
        <v>0.85</v>
      </c>
      <c r="G1297" s="164">
        <v>14</v>
      </c>
      <c r="H1297" s="164">
        <v>12</v>
      </c>
      <c r="I1297" s="167">
        <f t="shared" si="1143"/>
        <v>1927800</v>
      </c>
      <c r="J1297" s="164">
        <f t="shared" si="1144"/>
        <v>13500</v>
      </c>
      <c r="K1297" s="165">
        <v>0.85</v>
      </c>
      <c r="L1297" s="164">
        <v>14</v>
      </c>
      <c r="M1297" s="164">
        <v>12</v>
      </c>
      <c r="N1297" s="167">
        <f t="shared" si="1145"/>
        <v>1927800</v>
      </c>
      <c r="O1297" s="164">
        <f t="shared" si="1146"/>
        <v>13500</v>
      </c>
      <c r="P1297" s="165">
        <v>0.85</v>
      </c>
      <c r="Q1297" s="176">
        <v>6</v>
      </c>
      <c r="R1297" s="153">
        <v>12</v>
      </c>
      <c r="S1297" s="305">
        <f t="shared" si="1147"/>
        <v>826200</v>
      </c>
      <c r="T1297" s="169" t="s">
        <v>946</v>
      </c>
      <c r="U1297" s="169" t="s">
        <v>946</v>
      </c>
      <c r="V1297" s="121" t="s">
        <v>977</v>
      </c>
      <c r="W1297" s="121" t="s">
        <v>961</v>
      </c>
      <c r="X1297" s="170">
        <f>'Assumptions HR_AUN'!$D$4*3</f>
        <v>88211.039066799218</v>
      </c>
      <c r="Y1297" s="200">
        <f t="shared" si="1148"/>
        <v>21.854407570691269</v>
      </c>
      <c r="Z1297" s="167">
        <f t="shared" si="1149"/>
        <v>1927800</v>
      </c>
      <c r="AA1297" s="170">
        <f>'Assumptions HR_AUN'!$D$4*3</f>
        <v>88211.039066799218</v>
      </c>
      <c r="AB1297" s="200">
        <f t="shared" si="1150"/>
        <v>21.854407570691269</v>
      </c>
      <c r="AC1297" s="167">
        <f t="shared" si="1151"/>
        <v>1927800</v>
      </c>
      <c r="AD1297" s="170">
        <f>'Assumptions HR_AUN'!$D$4*3</f>
        <v>88211.039066799218</v>
      </c>
      <c r="AE1297" s="200">
        <f t="shared" si="1152"/>
        <v>9.3661746731534006</v>
      </c>
      <c r="AF1297" s="167">
        <f t="shared" si="1153"/>
        <v>826200</v>
      </c>
      <c r="AG1297" s="67"/>
    </row>
    <row r="1298" spans="1:33">
      <c r="A1298" s="134"/>
      <c r="B1298" s="153">
        <v>4</v>
      </c>
      <c r="C1298" s="121" t="s">
        <v>1682</v>
      </c>
      <c r="D1298" s="121" t="s">
        <v>1182</v>
      </c>
      <c r="E1298" s="164">
        <v>13500</v>
      </c>
      <c r="F1298" s="165">
        <v>0.85</v>
      </c>
      <c r="G1298" s="164">
        <v>2</v>
      </c>
      <c r="H1298" s="164">
        <v>12</v>
      </c>
      <c r="I1298" s="167">
        <f t="shared" si="1143"/>
        <v>275400</v>
      </c>
      <c r="J1298" s="164">
        <f t="shared" si="1144"/>
        <v>13500</v>
      </c>
      <c r="K1298" s="165">
        <v>0.85</v>
      </c>
      <c r="L1298" s="164">
        <v>2</v>
      </c>
      <c r="M1298" s="164">
        <v>12</v>
      </c>
      <c r="N1298" s="167">
        <f t="shared" si="1145"/>
        <v>275400</v>
      </c>
      <c r="O1298" s="164">
        <f t="shared" si="1146"/>
        <v>13500</v>
      </c>
      <c r="P1298" s="165">
        <v>0.85</v>
      </c>
      <c r="Q1298" s="176">
        <v>1</v>
      </c>
      <c r="R1298" s="153">
        <v>12</v>
      </c>
      <c r="S1298" s="305">
        <f t="shared" si="1147"/>
        <v>137700</v>
      </c>
      <c r="T1298" s="169" t="s">
        <v>946</v>
      </c>
      <c r="U1298" s="169" t="s">
        <v>946</v>
      </c>
      <c r="V1298" s="121" t="s">
        <v>977</v>
      </c>
      <c r="W1298" s="121" t="s">
        <v>961</v>
      </c>
      <c r="X1298" s="170">
        <f>'Assumptions HR_AUN'!$D$4*3</f>
        <v>88211.039066799218</v>
      </c>
      <c r="Y1298" s="200">
        <f t="shared" si="1148"/>
        <v>3.122058224384467</v>
      </c>
      <c r="Z1298" s="167">
        <f t="shared" si="1149"/>
        <v>275400</v>
      </c>
      <c r="AA1298" s="170">
        <f>'Assumptions HR_AUN'!$D$4*3</f>
        <v>88211.039066799218</v>
      </c>
      <c r="AB1298" s="200">
        <f t="shared" si="1150"/>
        <v>3.122058224384467</v>
      </c>
      <c r="AC1298" s="167">
        <f t="shared" si="1151"/>
        <v>275400</v>
      </c>
      <c r="AD1298" s="170">
        <f>'Assumptions HR_AUN'!$D$4*3</f>
        <v>88211.039066799218</v>
      </c>
      <c r="AE1298" s="200">
        <f t="shared" si="1152"/>
        <v>1.5610291121922335</v>
      </c>
      <c r="AF1298" s="167">
        <f t="shared" si="1153"/>
        <v>137700</v>
      </c>
      <c r="AG1298" s="67"/>
    </row>
    <row r="1299" spans="1:33">
      <c r="A1299" s="134"/>
      <c r="B1299" s="153">
        <v>5</v>
      </c>
      <c r="C1299" s="121" t="s">
        <v>1683</v>
      </c>
      <c r="D1299" s="121" t="s">
        <v>1182</v>
      </c>
      <c r="E1299" s="164">
        <v>13500</v>
      </c>
      <c r="F1299" s="165">
        <v>0.85</v>
      </c>
      <c r="G1299" s="164">
        <v>4</v>
      </c>
      <c r="H1299" s="164">
        <v>12</v>
      </c>
      <c r="I1299" s="167">
        <f t="shared" si="1143"/>
        <v>550800</v>
      </c>
      <c r="J1299" s="164">
        <f t="shared" si="1144"/>
        <v>13500</v>
      </c>
      <c r="K1299" s="165">
        <v>0.85</v>
      </c>
      <c r="L1299" s="164">
        <v>2</v>
      </c>
      <c r="M1299" s="164">
        <v>12</v>
      </c>
      <c r="N1299" s="167">
        <f t="shared" si="1145"/>
        <v>275400</v>
      </c>
      <c r="O1299" s="164">
        <f t="shared" si="1146"/>
        <v>13500</v>
      </c>
      <c r="P1299" s="165">
        <v>0.85</v>
      </c>
      <c r="Q1299" s="176">
        <v>2</v>
      </c>
      <c r="R1299" s="153">
        <v>12</v>
      </c>
      <c r="S1299" s="305">
        <f t="shared" si="1147"/>
        <v>275400</v>
      </c>
      <c r="T1299" s="169" t="s">
        <v>946</v>
      </c>
      <c r="U1299" s="169" t="s">
        <v>946</v>
      </c>
      <c r="V1299" s="121" t="s">
        <v>977</v>
      </c>
      <c r="W1299" s="121" t="s">
        <v>961</v>
      </c>
      <c r="X1299" s="170">
        <f>'Assumptions HR_AUN'!$D$4*3</f>
        <v>88211.039066799218</v>
      </c>
      <c r="Y1299" s="200">
        <f t="shared" si="1148"/>
        <v>6.244116448768934</v>
      </c>
      <c r="Z1299" s="167">
        <f t="shared" si="1149"/>
        <v>550800</v>
      </c>
      <c r="AA1299" s="170">
        <f>'Assumptions HR_AUN'!$D$4*3</f>
        <v>88211.039066799218</v>
      </c>
      <c r="AB1299" s="200">
        <f t="shared" si="1150"/>
        <v>3.122058224384467</v>
      </c>
      <c r="AC1299" s="167">
        <f t="shared" si="1151"/>
        <v>275400</v>
      </c>
      <c r="AD1299" s="170">
        <f>'Assumptions HR_AUN'!$D$4*3</f>
        <v>88211.039066799218</v>
      </c>
      <c r="AE1299" s="200">
        <f t="shared" si="1152"/>
        <v>3.122058224384467</v>
      </c>
      <c r="AF1299" s="167">
        <f t="shared" si="1153"/>
        <v>275400</v>
      </c>
      <c r="AG1299" s="67"/>
    </row>
    <row r="1300" spans="1:33">
      <c r="A1300" s="134"/>
      <c r="B1300" s="153">
        <v>6</v>
      </c>
      <c r="C1300" s="121" t="s">
        <v>1684</v>
      </c>
      <c r="D1300" s="121" t="s">
        <v>1182</v>
      </c>
      <c r="E1300" s="164">
        <v>13500</v>
      </c>
      <c r="F1300" s="165">
        <v>0.65</v>
      </c>
      <c r="G1300" s="164">
        <v>3</v>
      </c>
      <c r="H1300" s="164">
        <v>12</v>
      </c>
      <c r="I1300" s="167">
        <f t="shared" si="1143"/>
        <v>315900</v>
      </c>
      <c r="J1300" s="164">
        <f t="shared" si="1144"/>
        <v>13500</v>
      </c>
      <c r="K1300" s="165">
        <v>0.65</v>
      </c>
      <c r="L1300" s="164">
        <v>2</v>
      </c>
      <c r="M1300" s="164">
        <v>12</v>
      </c>
      <c r="N1300" s="167">
        <f t="shared" si="1145"/>
        <v>210600</v>
      </c>
      <c r="O1300" s="164">
        <f t="shared" si="1146"/>
        <v>13500</v>
      </c>
      <c r="P1300" s="165">
        <v>0.65</v>
      </c>
      <c r="Q1300" s="176">
        <v>1</v>
      </c>
      <c r="R1300" s="153">
        <v>12</v>
      </c>
      <c r="S1300" s="305">
        <f t="shared" si="1147"/>
        <v>105300</v>
      </c>
      <c r="T1300" s="169" t="s">
        <v>946</v>
      </c>
      <c r="U1300" s="169" t="s">
        <v>946</v>
      </c>
      <c r="V1300" s="121" t="s">
        <v>977</v>
      </c>
      <c r="W1300" s="121" t="s">
        <v>961</v>
      </c>
      <c r="X1300" s="170">
        <f>'Assumptions HR_AUN'!$D$4*3</f>
        <v>88211.039066799218</v>
      </c>
      <c r="Y1300" s="200">
        <f t="shared" si="1148"/>
        <v>3.581184433852771</v>
      </c>
      <c r="Z1300" s="167">
        <f t="shared" si="1149"/>
        <v>315900</v>
      </c>
      <c r="AA1300" s="170">
        <f>'Assumptions HR_AUN'!$D$4*3</f>
        <v>88211.039066799218</v>
      </c>
      <c r="AB1300" s="200">
        <f t="shared" si="1150"/>
        <v>2.3874562892351805</v>
      </c>
      <c r="AC1300" s="167">
        <f t="shared" si="1151"/>
        <v>210600</v>
      </c>
      <c r="AD1300" s="170">
        <f>'Assumptions HR_AUN'!$D$4*3</f>
        <v>88211.039066799218</v>
      </c>
      <c r="AE1300" s="200">
        <f t="shared" si="1152"/>
        <v>1.1937281446175902</v>
      </c>
      <c r="AF1300" s="167">
        <f t="shared" si="1153"/>
        <v>105300</v>
      </c>
      <c r="AG1300" s="67"/>
    </row>
    <row r="1301" spans="1:33">
      <c r="A1301" s="134"/>
      <c r="B1301" s="153">
        <v>7</v>
      </c>
      <c r="C1301" s="121" t="s">
        <v>1685</v>
      </c>
      <c r="D1301" s="121" t="s">
        <v>1182</v>
      </c>
      <c r="E1301" s="164">
        <v>15460</v>
      </c>
      <c r="F1301" s="165">
        <v>0.85</v>
      </c>
      <c r="G1301" s="164">
        <v>4</v>
      </c>
      <c r="H1301" s="164">
        <v>12</v>
      </c>
      <c r="I1301" s="167">
        <f t="shared" si="1143"/>
        <v>630768</v>
      </c>
      <c r="J1301" s="164">
        <f t="shared" si="1144"/>
        <v>15460</v>
      </c>
      <c r="K1301" s="165">
        <v>0.85</v>
      </c>
      <c r="L1301" s="164">
        <v>2</v>
      </c>
      <c r="M1301" s="164">
        <v>12</v>
      </c>
      <c r="N1301" s="167">
        <f t="shared" si="1145"/>
        <v>315384</v>
      </c>
      <c r="O1301" s="164">
        <f t="shared" si="1146"/>
        <v>15460</v>
      </c>
      <c r="P1301" s="165">
        <v>0.85</v>
      </c>
      <c r="Q1301" s="176">
        <v>1</v>
      </c>
      <c r="R1301" s="153">
        <v>12</v>
      </c>
      <c r="S1301" s="305">
        <f t="shared" si="1147"/>
        <v>157692</v>
      </c>
      <c r="T1301" s="169" t="s">
        <v>946</v>
      </c>
      <c r="U1301" s="169" t="s">
        <v>946</v>
      </c>
      <c r="V1301" s="121" t="s">
        <v>977</v>
      </c>
      <c r="W1301" s="121" t="s">
        <v>961</v>
      </c>
      <c r="X1301" s="170">
        <f>'Assumptions HR_AUN'!$D$4*3</f>
        <v>88211.039066799218</v>
      </c>
      <c r="Y1301" s="200">
        <f t="shared" si="1148"/>
        <v>7.1506696517013122</v>
      </c>
      <c r="Z1301" s="167">
        <f t="shared" si="1149"/>
        <v>630768</v>
      </c>
      <c r="AA1301" s="170">
        <f>'Assumptions HR_AUN'!$D$4*3</f>
        <v>88211.039066799218</v>
      </c>
      <c r="AB1301" s="200">
        <f t="shared" si="1150"/>
        <v>3.5753348258506561</v>
      </c>
      <c r="AC1301" s="167">
        <f t="shared" si="1151"/>
        <v>315384</v>
      </c>
      <c r="AD1301" s="170">
        <f>'Assumptions HR_AUN'!$D$4*3</f>
        <v>88211.039066799218</v>
      </c>
      <c r="AE1301" s="200">
        <f t="shared" si="1152"/>
        <v>1.787667412925328</v>
      </c>
      <c r="AF1301" s="167">
        <f t="shared" si="1153"/>
        <v>157692</v>
      </c>
      <c r="AG1301" s="67"/>
    </row>
    <row r="1302" spans="1:33">
      <c r="A1302" s="134"/>
      <c r="B1302" s="153">
        <v>8</v>
      </c>
      <c r="C1302" s="121" t="s">
        <v>1686</v>
      </c>
      <c r="D1302" s="121" t="s">
        <v>1182</v>
      </c>
      <c r="E1302" s="164">
        <v>22546</v>
      </c>
      <c r="F1302" s="165">
        <v>0.15</v>
      </c>
      <c r="G1302" s="164">
        <v>1</v>
      </c>
      <c r="H1302" s="164">
        <v>12</v>
      </c>
      <c r="I1302" s="167">
        <f t="shared" si="1143"/>
        <v>40582.800000000003</v>
      </c>
      <c r="J1302" s="164">
        <f t="shared" si="1144"/>
        <v>22546</v>
      </c>
      <c r="K1302" s="165">
        <v>0.15</v>
      </c>
      <c r="L1302" s="164">
        <v>1</v>
      </c>
      <c r="M1302" s="164">
        <v>12</v>
      </c>
      <c r="N1302" s="167">
        <f t="shared" si="1145"/>
        <v>40582.800000000003</v>
      </c>
      <c r="O1302" s="164">
        <f t="shared" si="1146"/>
        <v>22546</v>
      </c>
      <c r="P1302" s="165">
        <v>0.15</v>
      </c>
      <c r="Q1302" s="176">
        <v>1</v>
      </c>
      <c r="R1302" s="153">
        <v>12</v>
      </c>
      <c r="S1302" s="305">
        <f t="shared" si="1147"/>
        <v>40582.800000000003</v>
      </c>
      <c r="T1302" s="169" t="s">
        <v>946</v>
      </c>
      <c r="U1302" s="169" t="s">
        <v>946</v>
      </c>
      <c r="V1302" s="121" t="s">
        <v>977</v>
      </c>
      <c r="W1302" s="121" t="s">
        <v>961</v>
      </c>
      <c r="X1302" s="170">
        <f>'Assumptions HR_AUN'!$D$4*3</f>
        <v>88211.039066799218</v>
      </c>
      <c r="Y1302" s="200">
        <f t="shared" si="1148"/>
        <v>0.46006486749655029</v>
      </c>
      <c r="Z1302" s="167">
        <f t="shared" si="1149"/>
        <v>40582.800000000003</v>
      </c>
      <c r="AA1302" s="170">
        <f>'Assumptions HR_AUN'!$D$4*3</f>
        <v>88211.039066799218</v>
      </c>
      <c r="AB1302" s="200">
        <f t="shared" si="1150"/>
        <v>0.46006486749655029</v>
      </c>
      <c r="AC1302" s="167">
        <f t="shared" si="1151"/>
        <v>40582.800000000003</v>
      </c>
      <c r="AD1302" s="170">
        <f>'Assumptions HR_AUN'!$D$4*3</f>
        <v>88211.039066799218</v>
      </c>
      <c r="AE1302" s="200">
        <f t="shared" si="1152"/>
        <v>0.46006486749655029</v>
      </c>
      <c r="AF1302" s="167">
        <f t="shared" si="1153"/>
        <v>40582.800000000003</v>
      </c>
      <c r="AG1302" s="67"/>
    </row>
    <row r="1303" spans="1:33">
      <c r="A1303" s="134"/>
      <c r="B1303" s="153">
        <v>9</v>
      </c>
      <c r="C1303" s="121" t="s">
        <v>1687</v>
      </c>
      <c r="D1303" s="121" t="s">
        <v>1182</v>
      </c>
      <c r="E1303" s="164">
        <v>11452</v>
      </c>
      <c r="F1303" s="165">
        <v>0.2</v>
      </c>
      <c r="G1303" s="164">
        <v>1</v>
      </c>
      <c r="H1303" s="164">
        <v>12</v>
      </c>
      <c r="I1303" s="167">
        <f t="shared" si="1143"/>
        <v>27484.800000000003</v>
      </c>
      <c r="J1303" s="164">
        <f t="shared" si="1144"/>
        <v>11452</v>
      </c>
      <c r="K1303" s="165">
        <v>0.2</v>
      </c>
      <c r="L1303" s="164">
        <v>1</v>
      </c>
      <c r="M1303" s="164">
        <v>12</v>
      </c>
      <c r="N1303" s="167">
        <f t="shared" si="1145"/>
        <v>27484.800000000003</v>
      </c>
      <c r="O1303" s="164">
        <f t="shared" si="1146"/>
        <v>11452</v>
      </c>
      <c r="P1303" s="165">
        <v>0.2</v>
      </c>
      <c r="Q1303" s="176">
        <v>1</v>
      </c>
      <c r="R1303" s="153">
        <v>12</v>
      </c>
      <c r="S1303" s="305">
        <f t="shared" si="1147"/>
        <v>27484.800000000003</v>
      </c>
      <c r="T1303" s="169" t="s">
        <v>946</v>
      </c>
      <c r="U1303" s="169" t="s">
        <v>946</v>
      </c>
      <c r="V1303" s="121" t="s">
        <v>977</v>
      </c>
      <c r="W1303" s="121" t="s">
        <v>961</v>
      </c>
      <c r="X1303" s="170">
        <f>'Assumptions HR_AUN'!$D$4*3</f>
        <v>88211.039066799218</v>
      </c>
      <c r="Y1303" s="200">
        <f t="shared" si="1148"/>
        <v>0.31158005041961584</v>
      </c>
      <c r="Z1303" s="167">
        <f t="shared" si="1149"/>
        <v>27484.800000000003</v>
      </c>
      <c r="AA1303" s="170">
        <f>'Assumptions HR_AUN'!$D$4*3</f>
        <v>88211.039066799218</v>
      </c>
      <c r="AB1303" s="200">
        <f t="shared" si="1150"/>
        <v>0.31158005041961584</v>
      </c>
      <c r="AC1303" s="167">
        <f t="shared" si="1151"/>
        <v>27484.800000000003</v>
      </c>
      <c r="AD1303" s="170">
        <f>'Assumptions HR_AUN'!$D$4*3</f>
        <v>88211.039066799218</v>
      </c>
      <c r="AE1303" s="200">
        <f t="shared" si="1152"/>
        <v>0.31158005041961584</v>
      </c>
      <c r="AF1303" s="167">
        <f t="shared" si="1153"/>
        <v>27484.800000000003</v>
      </c>
      <c r="AG1303" s="67"/>
    </row>
    <row r="1304" spans="1:33">
      <c r="A1304" s="134"/>
      <c r="B1304" s="153">
        <v>10</v>
      </c>
      <c r="C1304" s="121" t="s">
        <v>1688</v>
      </c>
      <c r="D1304" s="121" t="s">
        <v>1182</v>
      </c>
      <c r="E1304" s="164">
        <v>20039</v>
      </c>
      <c r="F1304" s="165">
        <v>0.5</v>
      </c>
      <c r="G1304" s="164">
        <v>1</v>
      </c>
      <c r="H1304" s="164">
        <v>12</v>
      </c>
      <c r="I1304" s="167">
        <f t="shared" si="1143"/>
        <v>120234</v>
      </c>
      <c r="J1304" s="164">
        <f t="shared" si="1144"/>
        <v>20039</v>
      </c>
      <c r="K1304" s="165">
        <v>0.2</v>
      </c>
      <c r="L1304" s="164">
        <v>1</v>
      </c>
      <c r="M1304" s="164">
        <v>12</v>
      </c>
      <c r="N1304" s="167">
        <f t="shared" si="1145"/>
        <v>48093.600000000006</v>
      </c>
      <c r="O1304" s="164">
        <f t="shared" si="1146"/>
        <v>20039</v>
      </c>
      <c r="P1304" s="165">
        <v>0.2</v>
      </c>
      <c r="Q1304" s="176">
        <v>1</v>
      </c>
      <c r="R1304" s="153">
        <v>12</v>
      </c>
      <c r="S1304" s="305">
        <f t="shared" si="1147"/>
        <v>48093.600000000006</v>
      </c>
      <c r="T1304" s="169" t="s">
        <v>946</v>
      </c>
      <c r="U1304" s="169" t="s">
        <v>946</v>
      </c>
      <c r="V1304" s="121" t="s">
        <v>977</v>
      </c>
      <c r="W1304" s="121" t="s">
        <v>961</v>
      </c>
      <c r="X1304" s="170">
        <f>'Assumptions HR_AUN'!$D$4*3</f>
        <v>88211.039066799218</v>
      </c>
      <c r="Y1304" s="200">
        <f t="shared" si="1148"/>
        <v>1.3630266831904212</v>
      </c>
      <c r="Z1304" s="167">
        <f t="shared" si="1149"/>
        <v>120234</v>
      </c>
      <c r="AA1304" s="170">
        <f>'Assumptions HR_AUN'!$D$4*3</f>
        <v>88211.039066799218</v>
      </c>
      <c r="AB1304" s="200">
        <f t="shared" si="1150"/>
        <v>0.54521067327616857</v>
      </c>
      <c r="AC1304" s="167">
        <f t="shared" si="1151"/>
        <v>48093.600000000013</v>
      </c>
      <c r="AD1304" s="170">
        <f>'Assumptions HR_AUN'!$D$4*3</f>
        <v>88211.039066799218</v>
      </c>
      <c r="AE1304" s="200">
        <f t="shared" si="1152"/>
        <v>0.54521067327616857</v>
      </c>
      <c r="AF1304" s="167">
        <f t="shared" si="1153"/>
        <v>48093.600000000013</v>
      </c>
      <c r="AG1304" s="67"/>
    </row>
    <row r="1305" spans="1:33">
      <c r="A1305" s="134"/>
      <c r="B1305" s="153">
        <v>11</v>
      </c>
      <c r="C1305" s="121" t="s">
        <v>1689</v>
      </c>
      <c r="D1305" s="121" t="s">
        <v>1182</v>
      </c>
      <c r="E1305" s="164">
        <v>59731</v>
      </c>
      <c r="F1305" s="165">
        <v>0.1</v>
      </c>
      <c r="G1305" s="164">
        <v>1</v>
      </c>
      <c r="H1305" s="164">
        <v>12</v>
      </c>
      <c r="I1305" s="167">
        <f t="shared" si="1143"/>
        <v>71677.200000000012</v>
      </c>
      <c r="J1305" s="164">
        <f t="shared" si="1144"/>
        <v>59731</v>
      </c>
      <c r="K1305" s="165">
        <v>0.1</v>
      </c>
      <c r="L1305" s="164">
        <v>1</v>
      </c>
      <c r="M1305" s="164">
        <v>12</v>
      </c>
      <c r="N1305" s="167">
        <f t="shared" si="1145"/>
        <v>71677.200000000012</v>
      </c>
      <c r="O1305" s="164">
        <f t="shared" si="1146"/>
        <v>59731</v>
      </c>
      <c r="P1305" s="165">
        <v>0.1</v>
      </c>
      <c r="Q1305" s="176">
        <v>1</v>
      </c>
      <c r="R1305" s="153">
        <v>12</v>
      </c>
      <c r="S1305" s="305">
        <f t="shared" si="1147"/>
        <v>71677.200000000012</v>
      </c>
      <c r="T1305" s="169" t="s">
        <v>946</v>
      </c>
      <c r="U1305" s="169" t="s">
        <v>946</v>
      </c>
      <c r="V1305" s="121" t="s">
        <v>977</v>
      </c>
      <c r="W1305" s="121" t="s">
        <v>961</v>
      </c>
      <c r="X1305" s="170">
        <f>'Assumptions HR_AUN'!$D$4*3</f>
        <v>88211.039066799218</v>
      </c>
      <c r="Y1305" s="200">
        <f t="shared" si="1148"/>
        <v>0.81256496645188936</v>
      </c>
      <c r="Z1305" s="167">
        <f t="shared" si="1149"/>
        <v>71677.200000000012</v>
      </c>
      <c r="AA1305" s="170">
        <f>'Assumptions HR_AUN'!$D$4*3</f>
        <v>88211.039066799218</v>
      </c>
      <c r="AB1305" s="200">
        <f t="shared" si="1150"/>
        <v>0.81256496645188936</v>
      </c>
      <c r="AC1305" s="167">
        <f t="shared" si="1151"/>
        <v>71677.200000000012</v>
      </c>
      <c r="AD1305" s="170">
        <f>'Assumptions HR_AUN'!$D$4*3</f>
        <v>88211.039066799218</v>
      </c>
      <c r="AE1305" s="200">
        <f t="shared" si="1152"/>
        <v>0.81256496645188936</v>
      </c>
      <c r="AF1305" s="167">
        <f t="shared" si="1153"/>
        <v>71677.200000000012</v>
      </c>
      <c r="AG1305" s="67"/>
    </row>
    <row r="1306" spans="1:33">
      <c r="A1306" s="134"/>
      <c r="B1306" s="153">
        <v>12</v>
      </c>
      <c r="C1306" s="121" t="s">
        <v>1690</v>
      </c>
      <c r="D1306" s="121" t="s">
        <v>1182</v>
      </c>
      <c r="E1306" s="164">
        <v>40919</v>
      </c>
      <c r="F1306" s="165">
        <v>0.1</v>
      </c>
      <c r="G1306" s="164">
        <v>1</v>
      </c>
      <c r="H1306" s="164">
        <v>12</v>
      </c>
      <c r="I1306" s="167">
        <f t="shared" si="1143"/>
        <v>49102.8</v>
      </c>
      <c r="J1306" s="164">
        <f t="shared" si="1144"/>
        <v>40919</v>
      </c>
      <c r="K1306" s="165">
        <v>0.1</v>
      </c>
      <c r="L1306" s="164">
        <v>1</v>
      </c>
      <c r="M1306" s="164">
        <v>12</v>
      </c>
      <c r="N1306" s="167">
        <f t="shared" si="1145"/>
        <v>49102.8</v>
      </c>
      <c r="O1306" s="164">
        <f t="shared" si="1146"/>
        <v>40919</v>
      </c>
      <c r="P1306" s="165">
        <v>0.1</v>
      </c>
      <c r="Q1306" s="176">
        <v>1</v>
      </c>
      <c r="R1306" s="153">
        <v>12</v>
      </c>
      <c r="S1306" s="305">
        <f t="shared" si="1147"/>
        <v>49102.8</v>
      </c>
      <c r="T1306" s="169" t="s">
        <v>946</v>
      </c>
      <c r="U1306" s="169" t="s">
        <v>946</v>
      </c>
      <c r="V1306" s="121" t="s">
        <v>977</v>
      </c>
      <c r="W1306" s="121" t="s">
        <v>961</v>
      </c>
      <c r="X1306" s="170">
        <f>'Assumptions HR_AUN'!$D$4*3</f>
        <v>88211.039066799218</v>
      </c>
      <c r="Y1306" s="200">
        <f t="shared" si="1148"/>
        <v>0.55665141822914166</v>
      </c>
      <c r="Z1306" s="167">
        <f t="shared" si="1149"/>
        <v>49102.8</v>
      </c>
      <c r="AA1306" s="170">
        <f>'Assumptions HR_AUN'!$D$4*3</f>
        <v>88211.039066799218</v>
      </c>
      <c r="AB1306" s="200">
        <f t="shared" si="1150"/>
        <v>0.55665141822914166</v>
      </c>
      <c r="AC1306" s="167">
        <f t="shared" si="1151"/>
        <v>49102.8</v>
      </c>
      <c r="AD1306" s="170">
        <f>'Assumptions HR_AUN'!$D$4*3</f>
        <v>88211.039066799218</v>
      </c>
      <c r="AE1306" s="200">
        <f t="shared" si="1152"/>
        <v>0.55665141822914166</v>
      </c>
      <c r="AF1306" s="167">
        <f t="shared" si="1153"/>
        <v>49102.8</v>
      </c>
      <c r="AG1306" s="67"/>
    </row>
    <row r="1307" spans="1:33">
      <c r="A1307" s="134"/>
      <c r="B1307" s="153">
        <v>13</v>
      </c>
      <c r="C1307" s="121" t="s">
        <v>1691</v>
      </c>
      <c r="D1307" s="121" t="s">
        <v>1555</v>
      </c>
      <c r="E1307" s="164">
        <v>3</v>
      </c>
      <c r="F1307" s="165"/>
      <c r="G1307" s="164">
        <v>5000</v>
      </c>
      <c r="H1307" s="164"/>
      <c r="I1307" s="167">
        <f t="shared" ref="I1307:I1308" si="1154">E1307*G1307</f>
        <v>15000</v>
      </c>
      <c r="J1307" s="164">
        <f t="shared" si="1144"/>
        <v>3</v>
      </c>
      <c r="K1307" s="165"/>
      <c r="L1307" s="164"/>
      <c r="M1307" s="164"/>
      <c r="N1307" s="167">
        <v>0</v>
      </c>
      <c r="O1307" s="164">
        <f t="shared" si="1146"/>
        <v>3</v>
      </c>
      <c r="P1307" s="165"/>
      <c r="Q1307" s="176"/>
      <c r="R1307" s="153"/>
      <c r="S1307" s="305">
        <v>0</v>
      </c>
      <c r="T1307" s="169" t="s">
        <v>946</v>
      </c>
      <c r="U1307" s="169" t="s">
        <v>946</v>
      </c>
      <c r="V1307" s="121" t="s">
        <v>1000</v>
      </c>
      <c r="W1307" s="121" t="s">
        <v>789</v>
      </c>
      <c r="X1307" s="170">
        <f>E1307</f>
        <v>3</v>
      </c>
      <c r="Y1307" s="200">
        <f t="shared" si="1148"/>
        <v>5000</v>
      </c>
      <c r="Z1307" s="167">
        <f t="shared" si="1149"/>
        <v>15000</v>
      </c>
      <c r="AA1307" s="170">
        <f>J1307</f>
        <v>3</v>
      </c>
      <c r="AB1307" s="200">
        <f t="shared" si="1150"/>
        <v>0</v>
      </c>
      <c r="AC1307" s="167">
        <f t="shared" si="1151"/>
        <v>0</v>
      </c>
      <c r="AD1307" s="170">
        <f>O1307</f>
        <v>3</v>
      </c>
      <c r="AE1307" s="200">
        <f t="shared" si="1152"/>
        <v>0</v>
      </c>
      <c r="AF1307" s="167">
        <f t="shared" si="1153"/>
        <v>0</v>
      </c>
      <c r="AG1307" s="67"/>
    </row>
    <row r="1308" spans="1:33">
      <c r="A1308" s="134"/>
      <c r="B1308" s="153">
        <v>14</v>
      </c>
      <c r="C1308" s="121" t="s">
        <v>1692</v>
      </c>
      <c r="D1308" s="121" t="s">
        <v>1550</v>
      </c>
      <c r="E1308" s="164">
        <v>110000</v>
      </c>
      <c r="F1308" s="165"/>
      <c r="G1308" s="164">
        <v>1</v>
      </c>
      <c r="H1308" s="164"/>
      <c r="I1308" s="167">
        <f t="shared" si="1154"/>
        <v>110000</v>
      </c>
      <c r="J1308" s="164">
        <f t="shared" si="1144"/>
        <v>110000</v>
      </c>
      <c r="K1308" s="165"/>
      <c r="L1308" s="164">
        <v>1</v>
      </c>
      <c r="M1308" s="164"/>
      <c r="N1308" s="167">
        <f>J1308*L1308</f>
        <v>110000</v>
      </c>
      <c r="O1308" s="164">
        <f t="shared" si="1146"/>
        <v>110000</v>
      </c>
      <c r="P1308" s="165"/>
      <c r="Q1308" s="176">
        <v>1</v>
      </c>
      <c r="R1308" s="153"/>
      <c r="S1308" s="305">
        <f>O1308*Q1308</f>
        <v>110000</v>
      </c>
      <c r="T1308" s="169" t="s">
        <v>946</v>
      </c>
      <c r="U1308" s="169" t="s">
        <v>946</v>
      </c>
      <c r="V1308" s="121" t="s">
        <v>848</v>
      </c>
      <c r="W1308" s="164" t="s">
        <v>947</v>
      </c>
      <c r="X1308" s="170">
        <f>'Assumptions TRC_AUN'!E33</f>
        <v>3334</v>
      </c>
      <c r="Y1308" s="200">
        <f t="shared" si="1148"/>
        <v>32.993401319736051</v>
      </c>
      <c r="Z1308" s="167">
        <f t="shared" si="1149"/>
        <v>110000</v>
      </c>
      <c r="AA1308" s="170">
        <f>X1308</f>
        <v>3334</v>
      </c>
      <c r="AB1308" s="200">
        <f t="shared" si="1150"/>
        <v>32.993401319736051</v>
      </c>
      <c r="AC1308" s="167">
        <f t="shared" si="1151"/>
        <v>110000</v>
      </c>
      <c r="AD1308" s="170">
        <f>AA1308</f>
        <v>3334</v>
      </c>
      <c r="AE1308" s="200">
        <f t="shared" si="1152"/>
        <v>32.993401319736051</v>
      </c>
      <c r="AF1308" s="167">
        <f t="shared" si="1153"/>
        <v>110000</v>
      </c>
      <c r="AG1308" s="67"/>
    </row>
    <row r="1309" spans="1:33">
      <c r="A1309" s="134"/>
      <c r="B1309" s="153">
        <v>15</v>
      </c>
      <c r="C1309" s="121" t="s">
        <v>1195</v>
      </c>
      <c r="D1309" s="121"/>
      <c r="E1309" s="185">
        <v>0.1</v>
      </c>
      <c r="F1309" s="165"/>
      <c r="G1309" s="164"/>
      <c r="H1309" s="164"/>
      <c r="I1309" s="167">
        <f>SUM(I1295:I1308)*10%</f>
        <v>461414.95999999996</v>
      </c>
      <c r="J1309" s="185">
        <v>0.1</v>
      </c>
      <c r="K1309" s="165"/>
      <c r="L1309" s="164"/>
      <c r="M1309" s="164"/>
      <c r="N1309" s="167">
        <f>SUM(N1295:N1308)*10%</f>
        <v>380272.52</v>
      </c>
      <c r="O1309" s="185">
        <v>0.1</v>
      </c>
      <c r="P1309" s="165"/>
      <c r="Q1309" s="176"/>
      <c r="R1309" s="153"/>
      <c r="S1309" s="305">
        <f>SUM(S1295:S1308)*10%</f>
        <v>230043.32000000004</v>
      </c>
      <c r="T1309" s="169" t="s">
        <v>946</v>
      </c>
      <c r="U1309" s="169" t="s">
        <v>946</v>
      </c>
      <c r="V1309" s="121" t="s">
        <v>875</v>
      </c>
      <c r="W1309" s="121" t="s">
        <v>961</v>
      </c>
      <c r="X1309" s="170">
        <f>'Assumptions HR_AUN'!$D$4*3</f>
        <v>88211.039066799218</v>
      </c>
      <c r="Y1309" s="200">
        <f t="shared" si="1148"/>
        <v>5.230807446339977</v>
      </c>
      <c r="Z1309" s="167">
        <f t="shared" si="1149"/>
        <v>461414.95999999996</v>
      </c>
      <c r="AA1309" s="170">
        <f>$E$829</f>
        <v>69950</v>
      </c>
      <c r="AB1309" s="200">
        <f>N1309/X1309</f>
        <v>4.3109402635199956</v>
      </c>
      <c r="AC1309" s="167">
        <f t="shared" si="1151"/>
        <v>301550.27143322368</v>
      </c>
      <c r="AD1309" s="170">
        <f>$E$829</f>
        <v>69950</v>
      </c>
      <c r="AE1309" s="200">
        <f t="shared" si="1152"/>
        <v>3.2886822015725525</v>
      </c>
      <c r="AF1309" s="167">
        <f t="shared" si="1153"/>
        <v>230043.32000000004</v>
      </c>
      <c r="AG1309" s="67"/>
    </row>
    <row r="1310" spans="1:33">
      <c r="A1310" s="134"/>
      <c r="B1310" s="153">
        <v>16</v>
      </c>
      <c r="C1310" s="121" t="s">
        <v>1197</v>
      </c>
      <c r="D1310" s="121"/>
      <c r="E1310" s="185">
        <v>0.15</v>
      </c>
      <c r="F1310" s="165"/>
      <c r="G1310" s="164">
        <v>4</v>
      </c>
      <c r="H1310" s="164"/>
      <c r="I1310" s="167">
        <f>SUM(I1295:I1308)*15%</f>
        <v>692122.44</v>
      </c>
      <c r="J1310" s="185">
        <v>0.15</v>
      </c>
      <c r="K1310" s="165"/>
      <c r="L1310" s="164">
        <v>4</v>
      </c>
      <c r="M1310" s="164"/>
      <c r="N1310" s="167">
        <f>SUM(N1295:N1308)*15%</f>
        <v>570408.77999999991</v>
      </c>
      <c r="O1310" s="185">
        <v>0.15</v>
      </c>
      <c r="P1310" s="165"/>
      <c r="Q1310" s="176">
        <v>4</v>
      </c>
      <c r="R1310" s="153"/>
      <c r="S1310" s="305">
        <f>SUM(S1295:S1308)*15%</f>
        <v>345064.98000000004</v>
      </c>
      <c r="T1310" s="169" t="s">
        <v>946</v>
      </c>
      <c r="U1310" s="169" t="s">
        <v>946</v>
      </c>
      <c r="V1310" s="121" t="s">
        <v>881</v>
      </c>
      <c r="W1310" s="121" t="s">
        <v>964</v>
      </c>
      <c r="X1310" s="170">
        <f>I1310/4</f>
        <v>173030.61</v>
      </c>
      <c r="Y1310" s="200">
        <f t="shared" si="1148"/>
        <v>4</v>
      </c>
      <c r="Z1310" s="167">
        <f t="shared" si="1149"/>
        <v>692122.44</v>
      </c>
      <c r="AA1310" s="170">
        <f>N1310/4</f>
        <v>142602.19499999998</v>
      </c>
      <c r="AB1310" s="200">
        <f>N1310/AA1310</f>
        <v>4</v>
      </c>
      <c r="AC1310" s="167">
        <f t="shared" si="1151"/>
        <v>570408.77999999991</v>
      </c>
      <c r="AD1310" s="170">
        <f>S1310/4</f>
        <v>86266.24500000001</v>
      </c>
      <c r="AE1310" s="200">
        <f t="shared" si="1152"/>
        <v>4</v>
      </c>
      <c r="AF1310" s="167">
        <f t="shared" si="1153"/>
        <v>345064.98000000004</v>
      </c>
      <c r="AG1310" s="67"/>
    </row>
    <row r="1311" spans="1:33">
      <c r="A1311" s="134"/>
      <c r="B1311" s="113"/>
      <c r="C1311" s="177"/>
      <c r="D1311" s="113"/>
      <c r="E1311" s="113"/>
      <c r="F1311" s="113"/>
      <c r="G1311" s="113"/>
      <c r="H1311" s="113"/>
      <c r="I1311" s="306">
        <f>SUM(I1295:I1310)</f>
        <v>5767687</v>
      </c>
      <c r="J1311" s="306"/>
      <c r="K1311" s="113"/>
      <c r="L1311" s="113"/>
      <c r="M1311" s="113"/>
      <c r="N1311" s="306">
        <f>SUM(N1295:N1310)</f>
        <v>4753406.5</v>
      </c>
      <c r="O1311" s="306"/>
      <c r="P1311" s="113"/>
      <c r="Q1311" s="113"/>
      <c r="R1311" s="113"/>
      <c r="S1311" s="306">
        <f>SUM(S1295:S1310)</f>
        <v>2875541.5</v>
      </c>
      <c r="T1311" s="111"/>
      <c r="U1311" s="111"/>
      <c r="V1311" s="111"/>
      <c r="W1311" s="111"/>
      <c r="X1311" s="132"/>
      <c r="Y1311" s="133"/>
      <c r="Z1311" s="132"/>
      <c r="AA1311" s="132"/>
      <c r="AB1311" s="133"/>
      <c r="AC1311" s="132"/>
      <c r="AD1311" s="132"/>
      <c r="AE1311" s="133"/>
      <c r="AF1311" s="132"/>
      <c r="AG1311" s="67"/>
    </row>
    <row r="1312" spans="1:33">
      <c r="A1312" s="9"/>
      <c r="B1312" s="215"/>
      <c r="C1312" s="215"/>
      <c r="D1312" s="215"/>
      <c r="E1312" s="215"/>
      <c r="F1312" s="215"/>
      <c r="G1312" s="215"/>
      <c r="H1312" s="215"/>
      <c r="I1312" s="132"/>
      <c r="J1312" s="215"/>
      <c r="K1312" s="215"/>
      <c r="L1312" s="111"/>
      <c r="M1312" s="111"/>
      <c r="N1312" s="132"/>
      <c r="O1312" s="111"/>
      <c r="P1312" s="111"/>
      <c r="Q1312" s="111"/>
      <c r="R1312" s="111"/>
      <c r="S1312" s="132"/>
      <c r="T1312" s="111"/>
      <c r="U1312" s="111"/>
      <c r="V1312" s="111"/>
      <c r="W1312" s="111"/>
      <c r="X1312" s="132"/>
      <c r="Y1312" s="133"/>
      <c r="Z1312" s="132"/>
      <c r="AA1312" s="132"/>
      <c r="AB1312" s="133"/>
      <c r="AC1312" s="132"/>
      <c r="AD1312" s="132"/>
      <c r="AE1312" s="133"/>
      <c r="AF1312" s="132"/>
      <c r="AG1312" s="67"/>
    </row>
    <row r="1313" spans="1:33">
      <c r="A1313" s="9"/>
      <c r="B1313" s="215"/>
      <c r="C1313" s="215"/>
      <c r="D1313" s="215"/>
      <c r="E1313" s="215"/>
      <c r="F1313" s="215"/>
      <c r="G1313" s="215"/>
      <c r="H1313" s="215"/>
      <c r="I1313" s="215"/>
      <c r="J1313" s="215"/>
      <c r="K1313" s="215"/>
      <c r="L1313" s="111"/>
      <c r="M1313" s="111"/>
      <c r="N1313" s="215"/>
      <c r="O1313" s="111"/>
      <c r="P1313" s="111"/>
      <c r="Q1313" s="132"/>
      <c r="R1313" s="111"/>
      <c r="S1313" s="712"/>
      <c r="T1313" s="111"/>
      <c r="U1313" s="111"/>
      <c r="V1313" s="111"/>
      <c r="W1313" s="111"/>
      <c r="X1313" s="132"/>
      <c r="Y1313" s="133"/>
      <c r="Z1313" s="132"/>
      <c r="AA1313" s="132"/>
      <c r="AB1313" s="133"/>
      <c r="AC1313" s="132"/>
      <c r="AD1313" s="132"/>
      <c r="AE1313" s="133"/>
      <c r="AF1313" s="132"/>
      <c r="AG1313" s="67"/>
    </row>
    <row r="1314" spans="1:33">
      <c r="A1314" s="725">
        <v>77</v>
      </c>
      <c r="B1314" s="726" t="e" vm="1">
        <f>'[2]AUN Budget'!E373</f>
        <v>#VALUE!</v>
      </c>
      <c r="C1314" s="731"/>
      <c r="D1314" s="731"/>
      <c r="E1314" s="731"/>
      <c r="F1314" s="731"/>
      <c r="G1314" s="731"/>
      <c r="H1314" s="731"/>
      <c r="I1314" s="731"/>
      <c r="J1314" s="731"/>
      <c r="K1314" s="731"/>
      <c r="L1314" s="731"/>
      <c r="M1314" s="111"/>
      <c r="N1314" s="111"/>
      <c r="O1314" s="111"/>
      <c r="P1314" s="111"/>
      <c r="Q1314" s="111"/>
      <c r="R1314" s="111"/>
      <c r="S1314" s="712"/>
      <c r="T1314" s="111"/>
      <c r="U1314" s="111"/>
      <c r="V1314" s="111"/>
      <c r="W1314" s="111"/>
      <c r="X1314" s="132"/>
      <c r="Y1314" s="111"/>
      <c r="Z1314" s="111"/>
      <c r="AA1314" s="111"/>
      <c r="AB1314" s="111"/>
      <c r="AC1314" s="111"/>
      <c r="AD1314" s="111"/>
      <c r="AE1314" s="111"/>
      <c r="AF1314" s="111"/>
      <c r="AG1314" s="67"/>
    </row>
    <row r="1315" spans="1:33">
      <c r="A1315" s="134" t="s">
        <v>203</v>
      </c>
      <c r="B1315" s="143" t="s">
        <v>755</v>
      </c>
      <c r="C1315" s="113" t="s">
        <v>1304</v>
      </c>
      <c r="D1315" s="113" t="s">
        <v>1305</v>
      </c>
      <c r="E1315" s="113" t="s">
        <v>697</v>
      </c>
      <c r="F1315" s="113" t="s">
        <v>1388</v>
      </c>
      <c r="G1315" s="113" t="s">
        <v>1307</v>
      </c>
      <c r="H1315" s="113" t="s">
        <v>1308</v>
      </c>
      <c r="I1315" s="113" t="s">
        <v>1309</v>
      </c>
      <c r="J1315" s="113" t="s">
        <v>972</v>
      </c>
      <c r="K1315" s="113" t="s">
        <v>973</v>
      </c>
      <c r="L1315" s="113" t="s">
        <v>974</v>
      </c>
      <c r="M1315" s="111"/>
      <c r="N1315" s="132"/>
      <c r="O1315" s="111"/>
      <c r="P1315" s="111"/>
      <c r="Q1315" s="111"/>
      <c r="R1315" s="111"/>
      <c r="S1315" s="712"/>
      <c r="T1315" s="159" t="s">
        <v>387</v>
      </c>
      <c r="U1315" s="159" t="s">
        <v>388</v>
      </c>
      <c r="V1315" s="159" t="s">
        <v>934</v>
      </c>
      <c r="W1315" s="160" t="s">
        <v>935</v>
      </c>
      <c r="X1315" s="161" t="s">
        <v>936</v>
      </c>
      <c r="Y1315" s="162" t="s">
        <v>937</v>
      </c>
      <c r="Z1315" s="161" t="s">
        <v>938</v>
      </c>
      <c r="AA1315" s="161" t="s">
        <v>939</v>
      </c>
      <c r="AB1315" s="162" t="s">
        <v>940</v>
      </c>
      <c r="AC1315" s="161" t="s">
        <v>941</v>
      </c>
      <c r="AD1315" s="161" t="s">
        <v>942</v>
      </c>
      <c r="AE1315" s="162" t="s">
        <v>943</v>
      </c>
      <c r="AF1315" s="161" t="s">
        <v>944</v>
      </c>
      <c r="AG1315" s="67"/>
    </row>
    <row r="1316" spans="1:33">
      <c r="A1316" s="134"/>
      <c r="B1316" s="153">
        <v>1</v>
      </c>
      <c r="C1316" s="245"/>
      <c r="D1316" s="245" t="s">
        <v>1693</v>
      </c>
      <c r="E1316" s="245" t="s">
        <v>1182</v>
      </c>
      <c r="F1316" s="194">
        <f>'Assumptions HR_AUN'!$E$3</f>
        <v>38383</v>
      </c>
      <c r="G1316" s="164">
        <f>12*0.9*3*3</f>
        <v>97.200000000000017</v>
      </c>
      <c r="H1316" s="221"/>
      <c r="I1316" s="221"/>
      <c r="J1316" s="164">
        <f t="shared" ref="J1316:L1316" si="1155">$F$1316*G1316</f>
        <v>3730827.6000000006</v>
      </c>
      <c r="K1316" s="164">
        <f t="shared" si="1155"/>
        <v>0</v>
      </c>
      <c r="L1316" s="164">
        <f t="shared" si="1155"/>
        <v>0</v>
      </c>
      <c r="M1316" s="111"/>
      <c r="N1316" s="132"/>
      <c r="O1316" s="111"/>
      <c r="P1316" s="111"/>
      <c r="Q1316" s="111"/>
      <c r="R1316" s="111"/>
      <c r="S1316" s="712"/>
      <c r="T1316" s="169" t="e" vm="1">
        <f>'[2]AUN Budget'!$C$326</f>
        <v>#VALUE!</v>
      </c>
      <c r="U1316" s="169" t="e" vm="1">
        <f>'[2]AUN Budget'!$D$326</f>
        <v>#VALUE!</v>
      </c>
      <c r="V1316" s="121" t="s">
        <v>848</v>
      </c>
      <c r="W1316" s="164" t="s">
        <v>947</v>
      </c>
      <c r="X1316" s="170">
        <f>'Assumptions TRC_AUN'!$E$33</f>
        <v>3334</v>
      </c>
      <c r="Y1316" s="200">
        <f>Z1316/X1316</f>
        <v>1119.0244751049793</v>
      </c>
      <c r="Z1316" s="167">
        <f>J1316</f>
        <v>3730827.6000000006</v>
      </c>
      <c r="AA1316" s="170">
        <f>X1316</f>
        <v>3334</v>
      </c>
      <c r="AB1316" s="200">
        <f>AC1316/AA1316</f>
        <v>0</v>
      </c>
      <c r="AC1316" s="167">
        <f>K1316</f>
        <v>0</v>
      </c>
      <c r="AD1316" s="170">
        <f>AA1316</f>
        <v>3334</v>
      </c>
      <c r="AE1316" s="200">
        <f>AF1316/AD1316</f>
        <v>0</v>
      </c>
      <c r="AF1316" s="167">
        <f>L1316</f>
        <v>0</v>
      </c>
      <c r="AG1316" s="67"/>
    </row>
    <row r="1317" spans="1:33">
      <c r="A1317" s="134"/>
      <c r="B1317" s="153"/>
      <c r="C1317" s="121"/>
      <c r="D1317" s="307" t="s">
        <v>1694</v>
      </c>
      <c r="E1317" s="307"/>
      <c r="F1317" s="308">
        <v>10000</v>
      </c>
      <c r="G1317" s="221"/>
      <c r="H1317" s="221"/>
      <c r="I1317" s="221"/>
      <c r="J1317" s="164"/>
      <c r="K1317" s="164"/>
      <c r="L1317" s="231">
        <v>120000</v>
      </c>
      <c r="M1317" s="111"/>
      <c r="N1317" s="111"/>
      <c r="O1317" s="111"/>
      <c r="P1317" s="111"/>
      <c r="Q1317" s="111"/>
      <c r="R1317" s="111"/>
      <c r="S1317" s="712"/>
      <c r="T1317" s="169"/>
      <c r="U1317" s="169"/>
      <c r="V1317" s="121"/>
      <c r="W1317" s="121"/>
      <c r="X1317" s="170"/>
      <c r="Y1317" s="200"/>
      <c r="Z1317" s="167"/>
      <c r="AA1317" s="170"/>
      <c r="AB1317" s="200"/>
      <c r="AC1317" s="167"/>
      <c r="AD1317" s="170"/>
      <c r="AE1317" s="200"/>
      <c r="AF1317" s="167"/>
      <c r="AG1317" s="67"/>
    </row>
    <row r="1318" spans="1:33">
      <c r="A1318" s="134"/>
      <c r="B1318" s="153"/>
      <c r="C1318" s="121"/>
      <c r="D1318" s="307" t="s">
        <v>1695</v>
      </c>
      <c r="E1318" s="307"/>
      <c r="F1318" s="308">
        <v>10000</v>
      </c>
      <c r="G1318" s="221"/>
      <c r="H1318" s="221"/>
      <c r="I1318" s="221"/>
      <c r="J1318" s="164"/>
      <c r="K1318" s="164"/>
      <c r="L1318" s="231">
        <v>120000</v>
      </c>
      <c r="M1318" s="111"/>
      <c r="N1318" s="111"/>
      <c r="O1318" s="111"/>
      <c r="P1318" s="111"/>
      <c r="Q1318" s="111"/>
      <c r="R1318" s="111"/>
      <c r="S1318" s="712"/>
      <c r="T1318" s="169"/>
      <c r="U1318" s="169"/>
      <c r="V1318" s="121"/>
      <c r="W1318" s="121"/>
      <c r="X1318" s="170"/>
      <c r="Y1318" s="200"/>
      <c r="Z1318" s="167"/>
      <c r="AA1318" s="170"/>
      <c r="AB1318" s="200"/>
      <c r="AC1318" s="167"/>
      <c r="AD1318" s="170"/>
      <c r="AE1318" s="200"/>
      <c r="AF1318" s="167"/>
      <c r="AG1318" s="67"/>
    </row>
    <row r="1319" spans="1:33">
      <c r="A1319" s="134"/>
      <c r="B1319" s="153"/>
      <c r="C1319" s="121"/>
      <c r="D1319" s="307" t="s">
        <v>1696</v>
      </c>
      <c r="E1319" s="245"/>
      <c r="F1319" s="308">
        <v>680</v>
      </c>
      <c r="G1319" s="309"/>
      <c r="H1319" s="309"/>
      <c r="I1319" s="309">
        <v>320</v>
      </c>
      <c r="J1319" s="164"/>
      <c r="K1319" s="164"/>
      <c r="L1319" s="231">
        <v>217600</v>
      </c>
      <c r="M1319" s="111"/>
      <c r="N1319" s="111"/>
      <c r="O1319" s="111"/>
      <c r="P1319" s="111"/>
      <c r="Q1319" s="111"/>
      <c r="R1319" s="111"/>
      <c r="S1319" s="712"/>
      <c r="T1319" s="169"/>
      <c r="U1319" s="169"/>
      <c r="V1319" s="121"/>
      <c r="W1319" s="121"/>
      <c r="X1319" s="170"/>
      <c r="Y1319" s="200"/>
      <c r="Z1319" s="167"/>
      <c r="AA1319" s="170"/>
      <c r="AB1319" s="200"/>
      <c r="AC1319" s="167"/>
      <c r="AD1319" s="170"/>
      <c r="AE1319" s="200"/>
      <c r="AF1319" s="167"/>
      <c r="AG1319" s="67"/>
    </row>
    <row r="1320" spans="1:33">
      <c r="A1320" s="134"/>
      <c r="B1320" s="153"/>
      <c r="C1320" s="121"/>
      <c r="D1320" s="307" t="s">
        <v>1697</v>
      </c>
      <c r="E1320" s="245"/>
      <c r="F1320" s="308">
        <v>1150</v>
      </c>
      <c r="G1320" s="309"/>
      <c r="H1320" s="309"/>
      <c r="I1320" s="309">
        <v>320</v>
      </c>
      <c r="J1320" s="164"/>
      <c r="K1320" s="164"/>
      <c r="L1320" s="231">
        <v>368000</v>
      </c>
      <c r="M1320" s="111"/>
      <c r="N1320" s="111"/>
      <c r="O1320" s="111"/>
      <c r="P1320" s="111"/>
      <c r="Q1320" s="111"/>
      <c r="R1320" s="111"/>
      <c r="S1320" s="712"/>
      <c r="T1320" s="169"/>
      <c r="U1320" s="169"/>
      <c r="V1320" s="121"/>
      <c r="W1320" s="121"/>
      <c r="X1320" s="170"/>
      <c r="Y1320" s="200"/>
      <c r="Z1320" s="167"/>
      <c r="AA1320" s="170"/>
      <c r="AB1320" s="200"/>
      <c r="AC1320" s="167"/>
      <c r="AD1320" s="170"/>
      <c r="AE1320" s="200"/>
      <c r="AF1320" s="167"/>
      <c r="AG1320" s="67"/>
    </row>
    <row r="1321" spans="1:33">
      <c r="A1321" s="134"/>
      <c r="B1321" s="153"/>
      <c r="C1321" s="121"/>
      <c r="D1321" s="307" t="s">
        <v>1698</v>
      </c>
      <c r="E1321" s="245"/>
      <c r="F1321" s="308">
        <v>680</v>
      </c>
      <c r="G1321" s="309"/>
      <c r="H1321" s="309"/>
      <c r="I1321" s="309">
        <v>320</v>
      </c>
      <c r="J1321" s="164"/>
      <c r="K1321" s="164"/>
      <c r="L1321" s="231">
        <v>217600</v>
      </c>
      <c r="M1321" s="111"/>
      <c r="N1321" s="111"/>
      <c r="O1321" s="111"/>
      <c r="P1321" s="111"/>
      <c r="Q1321" s="111"/>
      <c r="R1321" s="111"/>
      <c r="S1321" s="712"/>
      <c r="T1321" s="169"/>
      <c r="U1321" s="169"/>
      <c r="V1321" s="121"/>
      <c r="W1321" s="121"/>
      <c r="X1321" s="170"/>
      <c r="Y1321" s="200"/>
      <c r="Z1321" s="167"/>
      <c r="AA1321" s="170"/>
      <c r="AB1321" s="200"/>
      <c r="AC1321" s="167"/>
      <c r="AD1321" s="170"/>
      <c r="AE1321" s="200"/>
      <c r="AF1321" s="167"/>
      <c r="AG1321" s="67"/>
    </row>
    <row r="1322" spans="1:33">
      <c r="A1322" s="134"/>
      <c r="B1322" s="153"/>
      <c r="C1322" s="121"/>
      <c r="D1322" s="307" t="s">
        <v>1699</v>
      </c>
      <c r="E1322" s="245"/>
      <c r="F1322" s="308">
        <v>680</v>
      </c>
      <c r="G1322" s="309"/>
      <c r="H1322" s="309"/>
      <c r="I1322" s="309">
        <v>320</v>
      </c>
      <c r="J1322" s="164"/>
      <c r="K1322" s="164"/>
      <c r="L1322" s="231">
        <v>217600</v>
      </c>
      <c r="M1322" s="111"/>
      <c r="N1322" s="111"/>
      <c r="O1322" s="111"/>
      <c r="P1322" s="111"/>
      <c r="Q1322" s="111"/>
      <c r="R1322" s="111"/>
      <c r="S1322" s="712"/>
      <c r="T1322" s="169"/>
      <c r="U1322" s="169"/>
      <c r="V1322" s="121"/>
      <c r="W1322" s="121"/>
      <c r="X1322" s="170"/>
      <c r="Y1322" s="200"/>
      <c r="Z1322" s="167"/>
      <c r="AA1322" s="170"/>
      <c r="AB1322" s="200"/>
      <c r="AC1322" s="167"/>
      <c r="AD1322" s="170"/>
      <c r="AE1322" s="200"/>
      <c r="AF1322" s="167"/>
      <c r="AG1322" s="67"/>
    </row>
    <row r="1323" spans="1:33">
      <c r="A1323" s="134"/>
      <c r="B1323" s="153"/>
      <c r="C1323" s="121"/>
      <c r="D1323" s="307" t="s">
        <v>1700</v>
      </c>
      <c r="E1323" s="245"/>
      <c r="F1323" s="308">
        <v>1150</v>
      </c>
      <c r="G1323" s="309"/>
      <c r="H1323" s="309"/>
      <c r="I1323" s="309">
        <v>300</v>
      </c>
      <c r="J1323" s="164"/>
      <c r="K1323" s="164"/>
      <c r="L1323" s="231">
        <v>345000</v>
      </c>
      <c r="M1323" s="111"/>
      <c r="N1323" s="111"/>
      <c r="O1323" s="111"/>
      <c r="P1323" s="111"/>
      <c r="Q1323" s="111"/>
      <c r="R1323" s="111"/>
      <c r="S1323" s="712"/>
      <c r="T1323" s="169"/>
      <c r="U1323" s="169"/>
      <c r="V1323" s="121"/>
      <c r="W1323" s="121"/>
      <c r="X1323" s="170"/>
      <c r="Y1323" s="200"/>
      <c r="Z1323" s="167"/>
      <c r="AA1323" s="170"/>
      <c r="AB1323" s="200"/>
      <c r="AC1323" s="167"/>
      <c r="AD1323" s="170"/>
      <c r="AE1323" s="200"/>
      <c r="AF1323" s="167"/>
      <c r="AG1323" s="67"/>
    </row>
    <row r="1324" spans="1:33">
      <c r="A1324" s="134"/>
      <c r="B1324" s="153">
        <v>2</v>
      </c>
      <c r="C1324" s="121" t="s">
        <v>1001</v>
      </c>
      <c r="D1324" s="245"/>
      <c r="E1324" s="245"/>
      <c r="F1324" s="264"/>
      <c r="G1324" s="221"/>
      <c r="H1324" s="221"/>
      <c r="I1324" s="221"/>
      <c r="J1324" s="164">
        <f t="shared" ref="J1324:K1324" si="1156">SUM(J1316)*10%</f>
        <v>373082.76000000007</v>
      </c>
      <c r="K1324" s="164">
        <f t="shared" si="1156"/>
        <v>0</v>
      </c>
      <c r="L1324" s="231">
        <v>408000</v>
      </c>
      <c r="M1324" s="111"/>
      <c r="N1324" s="111"/>
      <c r="O1324" s="111"/>
      <c r="P1324" s="111"/>
      <c r="Q1324" s="111"/>
      <c r="R1324" s="111"/>
      <c r="S1324" s="712"/>
      <c r="T1324" s="169" t="s">
        <v>946</v>
      </c>
      <c r="U1324" s="169" t="s">
        <v>946</v>
      </c>
      <c r="V1324" s="121" t="s">
        <v>875</v>
      </c>
      <c r="W1324" s="121" t="s">
        <v>961</v>
      </c>
      <c r="X1324" s="170">
        <f>'Assumptions HR_AUN'!$D$4*3</f>
        <v>88211.039066799218</v>
      </c>
      <c r="Y1324" s="200">
        <f t="shared" ref="Y1324:Y1325" si="1157">Z1324/X1324</f>
        <v>4.229433911525259</v>
      </c>
      <c r="Z1324" s="167">
        <f t="shared" ref="Z1324:Z1325" si="1158">J1324</f>
        <v>373082.76000000007</v>
      </c>
      <c r="AA1324" s="170">
        <f>X1324</f>
        <v>88211.039066799218</v>
      </c>
      <c r="AB1324" s="200">
        <f>AC1324/AA1324</f>
        <v>0</v>
      </c>
      <c r="AC1324" s="167">
        <f t="shared" ref="AC1324:AC1325" si="1159">K1324</f>
        <v>0</v>
      </c>
      <c r="AD1324" s="170">
        <f>AA1324</f>
        <v>88211.039066799218</v>
      </c>
      <c r="AE1324" s="200">
        <f>AF1324/AD1324</f>
        <v>4.6252714435325437</v>
      </c>
      <c r="AF1324" s="167">
        <f t="shared" ref="AF1324:AF1325" si="1160">L1324</f>
        <v>408000</v>
      </c>
      <c r="AG1324" s="67"/>
    </row>
    <row r="1325" spans="1:33">
      <c r="A1325" s="134"/>
      <c r="B1325" s="153">
        <v>3</v>
      </c>
      <c r="C1325" s="121" t="s">
        <v>962</v>
      </c>
      <c r="D1325" s="245"/>
      <c r="E1325" s="245"/>
      <c r="F1325" s="264"/>
      <c r="G1325" s="221"/>
      <c r="H1325" s="221"/>
      <c r="I1325" s="221"/>
      <c r="J1325" s="164">
        <f t="shared" ref="J1325:K1325" si="1161">SUM(J1316)*15%</f>
        <v>559624.14</v>
      </c>
      <c r="K1325" s="164">
        <f t="shared" si="1161"/>
        <v>0</v>
      </c>
      <c r="L1325" s="231">
        <v>402760</v>
      </c>
      <c r="M1325" s="111"/>
      <c r="N1325" s="111"/>
      <c r="O1325" s="111"/>
      <c r="P1325" s="111"/>
      <c r="Q1325" s="111"/>
      <c r="R1325" s="111"/>
      <c r="S1325" s="712"/>
      <c r="T1325" s="169" t="s">
        <v>946</v>
      </c>
      <c r="U1325" s="169" t="s">
        <v>946</v>
      </c>
      <c r="V1325" s="121" t="s">
        <v>881</v>
      </c>
      <c r="W1325" s="121" t="s">
        <v>964</v>
      </c>
      <c r="X1325" s="170">
        <f>J1325/4</f>
        <v>139906.035</v>
      </c>
      <c r="Y1325" s="200">
        <f t="shared" si="1157"/>
        <v>4</v>
      </c>
      <c r="Z1325" s="167">
        <f t="shared" si="1158"/>
        <v>559624.14</v>
      </c>
      <c r="AA1325" s="170">
        <f>K1325/4</f>
        <v>0</v>
      </c>
      <c r="AB1325" s="200"/>
      <c r="AC1325" s="167">
        <f t="shared" si="1159"/>
        <v>0</v>
      </c>
      <c r="AD1325" s="170">
        <f>L1325/4</f>
        <v>100690</v>
      </c>
      <c r="AE1325" s="200"/>
      <c r="AF1325" s="167">
        <f t="shared" si="1160"/>
        <v>402760</v>
      </c>
      <c r="AG1325" s="67"/>
    </row>
    <row r="1326" spans="1:33">
      <c r="A1326" s="9"/>
      <c r="B1326" s="215"/>
      <c r="C1326" s="215"/>
      <c r="D1326" s="215"/>
      <c r="E1326" s="215"/>
      <c r="F1326" s="215"/>
      <c r="G1326" s="215"/>
      <c r="H1326" s="215"/>
      <c r="I1326" s="215"/>
      <c r="J1326" s="215"/>
      <c r="K1326" s="215"/>
      <c r="L1326" s="111"/>
      <c r="M1326" s="111"/>
      <c r="N1326" s="215"/>
      <c r="O1326" s="111"/>
      <c r="P1326" s="111"/>
      <c r="Q1326" s="111"/>
      <c r="R1326" s="111"/>
      <c r="S1326" s="712"/>
      <c r="T1326" s="111"/>
      <c r="U1326" s="111"/>
      <c r="V1326" s="111"/>
      <c r="W1326" s="111"/>
      <c r="X1326" s="132"/>
      <c r="Y1326" s="133"/>
      <c r="Z1326" s="132"/>
      <c r="AA1326" s="132"/>
      <c r="AB1326" s="133"/>
      <c r="AC1326" s="132"/>
      <c r="AD1326" s="132"/>
      <c r="AE1326" s="133"/>
      <c r="AF1326" s="132"/>
      <c r="AG1326" s="67"/>
    </row>
    <row r="1327" spans="1:33">
      <c r="A1327" s="9"/>
      <c r="B1327" s="215"/>
      <c r="C1327" s="215"/>
      <c r="D1327" s="215"/>
      <c r="E1327" s="215"/>
      <c r="F1327" s="215"/>
      <c r="G1327" s="215"/>
      <c r="H1327" s="215"/>
      <c r="I1327" s="215"/>
      <c r="J1327" s="215"/>
      <c r="K1327" s="215"/>
      <c r="L1327" s="111"/>
      <c r="M1327" s="111"/>
      <c r="N1327" s="215"/>
      <c r="O1327" s="111"/>
      <c r="P1327" s="111"/>
      <c r="Q1327" s="111"/>
      <c r="R1327" s="111"/>
      <c r="S1327" s="712"/>
      <c r="T1327" s="111"/>
      <c r="U1327" s="111"/>
      <c r="V1327" s="111"/>
      <c r="W1327" s="111"/>
      <c r="X1327" s="132"/>
      <c r="Y1327" s="133"/>
      <c r="Z1327" s="132"/>
      <c r="AA1327" s="132"/>
      <c r="AB1327" s="133"/>
      <c r="AC1327" s="132"/>
      <c r="AD1327" s="132"/>
      <c r="AE1327" s="133"/>
      <c r="AF1327" s="132"/>
      <c r="AG1327" s="67"/>
    </row>
    <row r="1328" spans="1:33">
      <c r="A1328" s="9"/>
      <c r="B1328" s="215"/>
      <c r="C1328" s="215"/>
      <c r="D1328" s="215"/>
      <c r="E1328" s="215" t="s">
        <v>403</v>
      </c>
      <c r="F1328" s="215" t="e">
        <f>SUMIFS('[2]AUN Budget'!$Y$5:$Y$351,'[2]AUN Budget'!$G$5:$G$351,"SR-UKR-AUN")</f>
        <v>#VALUE!</v>
      </c>
      <c r="G1328" s="215" t="e">
        <f>SUMIFS('[2]AUN Budget'!$AL$5:$AL$351,'[2]AUN Budget'!$G$5:$G$351,"SR-UKR-AUN")</f>
        <v>#VALUE!</v>
      </c>
      <c r="H1328" s="215" t="e">
        <f>SUMIFS('[2]AUN Budget'!$AY$5:$AY$351,'[2]AUN Budget'!$G$5:$G$351,"SR-UKR-AUN")</f>
        <v>#VALUE!</v>
      </c>
      <c r="I1328" s="215"/>
      <c r="J1328" s="215"/>
      <c r="K1328" s="215"/>
      <c r="L1328" s="111"/>
      <c r="M1328" s="111"/>
      <c r="N1328" s="215"/>
      <c r="O1328" s="111"/>
      <c r="P1328" s="111"/>
      <c r="Q1328" s="111"/>
      <c r="R1328" s="111"/>
      <c r="S1328" s="712"/>
      <c r="T1328" s="111"/>
      <c r="U1328" s="111"/>
      <c r="V1328" s="111"/>
      <c r="W1328" s="111"/>
      <c r="X1328" s="132"/>
      <c r="Y1328" s="133"/>
      <c r="Z1328" s="132"/>
      <c r="AA1328" s="132"/>
      <c r="AB1328" s="133"/>
      <c r="AC1328" s="132"/>
      <c r="AD1328" s="132"/>
      <c r="AE1328" s="133"/>
      <c r="AF1328" s="132"/>
      <c r="AG1328" s="67"/>
    </row>
    <row r="1329" spans="1:33">
      <c r="A1329" s="9"/>
      <c r="B1329" s="215"/>
      <c r="C1329" s="215"/>
      <c r="D1329" s="215"/>
      <c r="E1329" s="215" t="s">
        <v>1701</v>
      </c>
      <c r="F1329" s="215" t="e">
        <f>SUMIFS('[2]AUN Budget'!$Y$5:$Y$351,'[2]AUN Budget'!$G$5:$G$351,"SR-NGCA-AUN")</f>
        <v>#VALUE!</v>
      </c>
      <c r="G1329" s="215" t="e">
        <f>SUMIFS('[2]AUN Budget'!$AL$5:$AL$351,'[2]AUN Budget'!$G$5:$G$351,"SR-NGCA-AUN")</f>
        <v>#VALUE!</v>
      </c>
      <c r="H1329" s="215" t="e">
        <f>SUMIFS('[2]AUN Budget'!$AY$5:$AY$351,'[2]AUN Budget'!$G$5:$G$351,"SR-NGCA-AUN")</f>
        <v>#VALUE!</v>
      </c>
      <c r="I1329" s="215"/>
      <c r="J1329" s="215"/>
      <c r="K1329" s="215"/>
      <c r="L1329" s="111"/>
      <c r="M1329" s="111"/>
      <c r="N1329" s="215"/>
      <c r="O1329" s="111"/>
      <c r="P1329" s="111"/>
      <c r="Q1329" s="111"/>
      <c r="R1329" s="111"/>
      <c r="S1329" s="712"/>
      <c r="T1329" s="111"/>
      <c r="U1329" s="111"/>
      <c r="V1329" s="111"/>
      <c r="W1329" s="111"/>
      <c r="X1329" s="132"/>
      <c r="Y1329" s="133"/>
      <c r="Z1329" s="132"/>
      <c r="AA1329" s="132"/>
      <c r="AB1329" s="133"/>
      <c r="AC1329" s="132"/>
      <c r="AD1329" s="132"/>
      <c r="AE1329" s="133"/>
      <c r="AF1329" s="132"/>
      <c r="AG1329" s="67"/>
    </row>
    <row r="1330" spans="1:33">
      <c r="A1330" s="9"/>
      <c r="B1330" s="215"/>
      <c r="C1330" s="215"/>
      <c r="D1330" s="215"/>
      <c r="E1330" s="215" t="s">
        <v>1702</v>
      </c>
      <c r="F1330" s="215" t="e">
        <f>SUMIFS('[2]AUN Budget'!$Y$5:$Y$351,'[2]AUN Budget'!$G$5:$G$351,"SR-CRIMEA-AUN")</f>
        <v>#VALUE!</v>
      </c>
      <c r="G1330" s="215" t="e">
        <f>SUMIFS('[2]AUN Budget'!$AL$5:$AL$351,'[2]AUN Budget'!$G$5:$G$351,"SR-CRIMEA-AUN")</f>
        <v>#VALUE!</v>
      </c>
      <c r="H1330" s="215" t="e">
        <f>SUMIFS('[2]AUN Budget'!$AY$5:$AY$351,'[2]AUN Budget'!$G$5:$G$351,"SR-CRIMEA-AUN")</f>
        <v>#VALUE!</v>
      </c>
      <c r="I1330" s="215"/>
      <c r="J1330" s="215"/>
      <c r="K1330" s="215"/>
      <c r="L1330" s="111"/>
      <c r="M1330" s="111"/>
      <c r="N1330" s="215"/>
      <c r="O1330" s="111"/>
      <c r="P1330" s="111"/>
      <c r="Q1330" s="111"/>
      <c r="R1330" s="111"/>
      <c r="S1330" s="712"/>
      <c r="T1330" s="111"/>
      <c r="U1330" s="111"/>
      <c r="V1330" s="111"/>
      <c r="W1330" s="111"/>
      <c r="X1330" s="132"/>
      <c r="Y1330" s="133"/>
      <c r="Z1330" s="132"/>
      <c r="AA1330" s="132"/>
      <c r="AB1330" s="133"/>
      <c r="AC1330" s="132"/>
      <c r="AD1330" s="132"/>
      <c r="AE1330" s="133"/>
      <c r="AF1330" s="132"/>
      <c r="AG1330" s="67"/>
    </row>
    <row r="1331" spans="1:33">
      <c r="A1331" s="9"/>
      <c r="B1331" s="215"/>
      <c r="C1331" s="215"/>
      <c r="D1331" s="215"/>
      <c r="E1331" s="215"/>
      <c r="F1331" s="215" t="e">
        <f>SUMIF('[2]AUN Budget'!$G$5:$G$341,'[2]AUN Budget'!#REF!,'[2]AUN Budget'!Y5:Y341)</f>
        <v>#VALUE!</v>
      </c>
      <c r="G1331" s="215" t="e">
        <f>SUMIF('[2]AUN Budget'!$G$5:$G$341,'[2]AUN Budget'!#REF!,'[2]AUN Budget'!AL5:AL341)</f>
        <v>#VALUE!</v>
      </c>
      <c r="H1331" s="215" t="e">
        <f>SUMIF('[2]AUN Budget'!$G$5:$G$341,'[2]AUN Budget'!#REF!,'[2]AUN Budget'!AY5:AY341)</f>
        <v>#VALUE!</v>
      </c>
      <c r="I1331" s="215"/>
      <c r="J1331" s="215"/>
      <c r="K1331" s="215"/>
      <c r="L1331" s="111"/>
      <c r="M1331" s="111"/>
      <c r="N1331" s="215"/>
      <c r="O1331" s="111"/>
      <c r="P1331" s="111"/>
      <c r="Q1331" s="111"/>
      <c r="R1331" s="111"/>
      <c r="S1331" s="712"/>
      <c r="T1331" s="111"/>
      <c r="U1331" s="111"/>
      <c r="V1331" s="111"/>
      <c r="W1331" s="111"/>
      <c r="X1331" s="132"/>
      <c r="Y1331" s="133"/>
      <c r="Z1331" s="132"/>
      <c r="AA1331" s="132"/>
      <c r="AB1331" s="133"/>
      <c r="AC1331" s="132"/>
      <c r="AD1331" s="132"/>
      <c r="AE1331" s="133"/>
      <c r="AF1331" s="132"/>
      <c r="AG1331" s="67"/>
    </row>
    <row r="1332" spans="1:33">
      <c r="A1332" s="9"/>
      <c r="B1332" s="215"/>
      <c r="C1332" s="215"/>
      <c r="D1332" s="215"/>
      <c r="E1332" s="215"/>
      <c r="F1332" s="215" t="e">
        <f>SUMIF('[2]AUN Budget'!$G$350:$G$351,'[2]AUN Budget'!#REF!,'[2]AUN Budget'!Y350:Y351)</f>
        <v>#VALUE!</v>
      </c>
      <c r="G1332" s="215" t="e">
        <f>SUMIF('[2]AUN Budget'!$G$350:$G$351,'[2]AUN Budget'!#REF!,'[2]AUN Budget'!AL350:AL351)</f>
        <v>#VALUE!</v>
      </c>
      <c r="H1332" s="215" t="e">
        <f>SUMIF('[2]AUN Budget'!$G$350:$G$351,'[2]AUN Budget'!#REF!,'[2]AUN Budget'!AY350:AY351)</f>
        <v>#VALUE!</v>
      </c>
      <c r="I1332" s="215"/>
      <c r="J1332" s="215"/>
      <c r="K1332" s="215"/>
      <c r="L1332" s="111"/>
      <c r="M1332" s="111"/>
      <c r="N1332" s="215"/>
      <c r="O1332" s="111"/>
      <c r="P1332" s="111"/>
      <c r="Q1332" s="111"/>
      <c r="R1332" s="111"/>
      <c r="S1332" s="712"/>
      <c r="T1332" s="111"/>
      <c r="U1332" s="111"/>
      <c r="V1332" s="111"/>
      <c r="W1332" s="111"/>
      <c r="X1332" s="132"/>
      <c r="Y1332" s="133"/>
      <c r="Z1332" s="132"/>
      <c r="AA1332" s="132"/>
      <c r="AB1332" s="133"/>
      <c r="AC1332" s="132"/>
      <c r="AD1332" s="132"/>
      <c r="AE1332" s="133"/>
      <c r="AF1332" s="132"/>
      <c r="AG1332" s="67"/>
    </row>
    <row r="1333" spans="1:33">
      <c r="A1333" s="9"/>
      <c r="B1333" s="215"/>
      <c r="C1333" s="215"/>
      <c r="D1333" s="215"/>
      <c r="E1333" s="215"/>
      <c r="F1333" s="151">
        <v>38021965.254750401</v>
      </c>
      <c r="G1333" s="151">
        <v>34445613.282110505</v>
      </c>
      <c r="H1333" s="151">
        <v>24964009.813875508</v>
      </c>
      <c r="I1333" s="215"/>
      <c r="J1333" s="215"/>
      <c r="K1333" s="215"/>
      <c r="L1333" s="111"/>
      <c r="M1333" s="111"/>
      <c r="N1333" s="215"/>
      <c r="O1333" s="111"/>
      <c r="P1333" s="111"/>
      <c r="Q1333" s="111"/>
      <c r="R1333" s="111"/>
      <c r="S1333" s="712"/>
      <c r="T1333" s="111"/>
      <c r="U1333" s="111"/>
      <c r="V1333" s="111"/>
      <c r="W1333" s="111"/>
      <c r="X1333" s="132"/>
      <c r="Y1333" s="133"/>
      <c r="Z1333" s="132"/>
      <c r="AA1333" s="132"/>
      <c r="AB1333" s="133"/>
      <c r="AC1333" s="132"/>
      <c r="AD1333" s="132"/>
      <c r="AE1333" s="133"/>
      <c r="AF1333" s="132"/>
      <c r="AG1333" s="67"/>
    </row>
    <row r="1334" spans="1:33">
      <c r="A1334" s="725">
        <v>78</v>
      </c>
      <c r="B1334" s="735" t="s">
        <v>1703</v>
      </c>
      <c r="C1334" s="735"/>
      <c r="D1334" s="735"/>
      <c r="E1334" s="735"/>
      <c r="F1334" s="735"/>
      <c r="G1334" s="735"/>
      <c r="H1334" s="735"/>
      <c r="I1334" s="111"/>
      <c r="J1334" s="67"/>
      <c r="K1334" s="215"/>
      <c r="L1334" s="111"/>
      <c r="M1334" s="111"/>
      <c r="N1334" s="215"/>
      <c r="O1334" s="111"/>
      <c r="P1334" s="111"/>
      <c r="Q1334" s="111"/>
      <c r="R1334" s="111"/>
      <c r="S1334" s="712"/>
      <c r="T1334" s="111"/>
      <c r="U1334" s="111"/>
      <c r="V1334" s="111"/>
      <c r="W1334" s="111"/>
      <c r="X1334" s="132"/>
      <c r="Y1334" s="133"/>
      <c r="Z1334" s="132"/>
      <c r="AA1334" s="132"/>
      <c r="AB1334" s="133"/>
      <c r="AC1334" s="132"/>
      <c r="AD1334" s="132"/>
      <c r="AE1334" s="133"/>
      <c r="AF1334" s="132"/>
      <c r="AG1334" s="67"/>
    </row>
    <row r="1335" spans="1:33">
      <c r="A1335" s="134"/>
      <c r="B1335" s="152" t="s">
        <v>755</v>
      </c>
      <c r="C1335" s="310" t="s">
        <v>388</v>
      </c>
      <c r="D1335" s="152" t="s">
        <v>1704</v>
      </c>
      <c r="E1335" s="310" t="s">
        <v>1705</v>
      </c>
      <c r="F1335" s="310" t="s">
        <v>972</v>
      </c>
      <c r="G1335" s="310" t="s">
        <v>973</v>
      </c>
      <c r="H1335" s="310" t="s">
        <v>974</v>
      </c>
      <c r="I1335" s="67"/>
      <c r="J1335" s="311" t="s">
        <v>1706</v>
      </c>
      <c r="K1335" s="215"/>
      <c r="L1335" s="111"/>
      <c r="M1335" s="111"/>
      <c r="N1335" s="215"/>
      <c r="O1335" s="111"/>
      <c r="P1335" s="111"/>
      <c r="Q1335" s="111"/>
      <c r="R1335" s="111"/>
      <c r="S1335" s="712"/>
      <c r="T1335" s="111"/>
      <c r="U1335" s="111"/>
      <c r="V1335" s="111"/>
      <c r="W1335" s="111"/>
      <c r="X1335" s="132"/>
      <c r="Y1335" s="133"/>
      <c r="Z1335" s="132"/>
      <c r="AA1335" s="132"/>
      <c r="AB1335" s="133"/>
      <c r="AC1335" s="132"/>
      <c r="AD1335" s="132"/>
      <c r="AE1335" s="133"/>
      <c r="AF1335" s="132"/>
      <c r="AG1335" s="67"/>
    </row>
    <row r="1336" spans="1:33">
      <c r="A1336" s="134"/>
      <c r="B1336" s="121"/>
      <c r="C1336" s="121" t="s">
        <v>1707</v>
      </c>
      <c r="D1336" s="121" t="s">
        <v>1708</v>
      </c>
      <c r="E1336" s="121" t="s">
        <v>1000</v>
      </c>
      <c r="F1336" s="241">
        <f t="shared" ref="F1336:H1336" si="1162">F$1333*$J1336</f>
        <v>18506.523940995834</v>
      </c>
      <c r="G1336" s="241">
        <f t="shared" si="1162"/>
        <v>16765.797417271006</v>
      </c>
      <c r="H1336" s="241">
        <f t="shared" si="1162"/>
        <v>12150.793421337443</v>
      </c>
      <c r="I1336" s="67"/>
      <c r="J1336" s="312">
        <v>4.8673244049855259E-4</v>
      </c>
      <c r="K1336" s="215"/>
      <c r="L1336" s="111"/>
      <c r="M1336" s="111"/>
      <c r="N1336" s="215"/>
      <c r="O1336" s="111"/>
      <c r="P1336" s="111"/>
      <c r="Q1336" s="111"/>
      <c r="R1336" s="111"/>
      <c r="S1336" s="712"/>
      <c r="T1336" s="111"/>
      <c r="U1336" s="111"/>
      <c r="V1336" s="111"/>
      <c r="W1336" s="111"/>
      <c r="X1336" s="132"/>
      <c r="Y1336" s="133"/>
      <c r="Z1336" s="132"/>
      <c r="AA1336" s="132"/>
      <c r="AB1336" s="133"/>
      <c r="AC1336" s="132"/>
      <c r="AD1336" s="132"/>
      <c r="AE1336" s="133"/>
      <c r="AF1336" s="132"/>
      <c r="AG1336" s="67"/>
    </row>
    <row r="1337" spans="1:33">
      <c r="A1337" s="134"/>
      <c r="B1337" s="121"/>
      <c r="C1337" s="121" t="s">
        <v>1707</v>
      </c>
      <c r="D1337" s="121" t="s">
        <v>1708</v>
      </c>
      <c r="E1337" s="121" t="s">
        <v>878</v>
      </c>
      <c r="F1337" s="241">
        <f t="shared" ref="F1337:H1337" si="1163">F$1333*$J1337</f>
        <v>40238.453136718992</v>
      </c>
      <c r="G1337" s="241">
        <f t="shared" si="1163"/>
        <v>36453.617968749772</v>
      </c>
      <c r="H1337" s="241">
        <f t="shared" si="1163"/>
        <v>26419.285070350761</v>
      </c>
      <c r="I1337" s="67"/>
      <c r="J1337" s="313">
        <v>1.0582949320772331E-3</v>
      </c>
      <c r="K1337" s="215" t="s">
        <v>1709</v>
      </c>
      <c r="L1337" s="111"/>
      <c r="M1337" s="111"/>
      <c r="N1337" s="215"/>
      <c r="O1337" s="111"/>
      <c r="P1337" s="111"/>
      <c r="Q1337" s="111"/>
      <c r="R1337" s="111"/>
      <c r="S1337" s="712"/>
      <c r="T1337" s="111"/>
      <c r="U1337" s="111"/>
      <c r="V1337" s="111"/>
      <c r="W1337" s="111"/>
      <c r="X1337" s="132"/>
      <c r="Y1337" s="133"/>
      <c r="Z1337" s="132"/>
      <c r="AA1337" s="132"/>
      <c r="AB1337" s="133"/>
      <c r="AC1337" s="132"/>
      <c r="AD1337" s="132"/>
      <c r="AE1337" s="133"/>
      <c r="AF1337" s="132"/>
      <c r="AG1337" s="67"/>
    </row>
    <row r="1338" spans="1:33">
      <c r="A1338" s="134"/>
      <c r="B1338" s="121"/>
      <c r="C1338" s="121" t="s">
        <v>1707</v>
      </c>
      <c r="D1338" s="121" t="s">
        <v>1710</v>
      </c>
      <c r="E1338" s="121" t="s">
        <v>848</v>
      </c>
      <c r="F1338" s="241">
        <f t="shared" ref="F1338:H1338" si="1164">F$1333*$J1338</f>
        <v>577577.02742926346</v>
      </c>
      <c r="G1338" s="241">
        <f t="shared" si="1164"/>
        <v>523250.04228900798</v>
      </c>
      <c r="H1338" s="241">
        <f t="shared" si="1164"/>
        <v>379218.65648992814</v>
      </c>
      <c r="I1338" s="67"/>
      <c r="J1338" s="313">
        <v>1.5190614781730723E-2</v>
      </c>
      <c r="K1338" s="215"/>
      <c r="L1338" s="111"/>
      <c r="M1338" s="111"/>
      <c r="N1338" s="215"/>
      <c r="O1338" s="111"/>
      <c r="P1338" s="111"/>
      <c r="Q1338" s="111"/>
      <c r="R1338" s="111"/>
      <c r="S1338" s="712"/>
      <c r="T1338" s="111"/>
      <c r="U1338" s="111"/>
      <c r="V1338" s="111"/>
      <c r="W1338" s="111"/>
      <c r="X1338" s="132"/>
      <c r="Y1338" s="133"/>
      <c r="Z1338" s="132"/>
      <c r="AA1338" s="132"/>
      <c r="AB1338" s="133"/>
      <c r="AC1338" s="132"/>
      <c r="AD1338" s="132"/>
      <c r="AE1338" s="133"/>
      <c r="AF1338" s="132"/>
      <c r="AG1338" s="67"/>
    </row>
    <row r="1339" spans="1:33">
      <c r="A1339" s="134"/>
      <c r="B1339" s="121"/>
      <c r="C1339" s="121" t="s">
        <v>1707</v>
      </c>
      <c r="D1339" s="121" t="s">
        <v>1708</v>
      </c>
      <c r="E1339" s="121" t="s">
        <v>880</v>
      </c>
      <c r="F1339" s="241">
        <f t="shared" ref="F1339:H1339" si="1165">F$1333*$J1339</f>
        <v>605963.95100777457</v>
      </c>
      <c r="G1339" s="241">
        <f t="shared" si="1165"/>
        <v>548966.88741531444</v>
      </c>
      <c r="H1339" s="241">
        <f t="shared" si="1165"/>
        <v>397856.60521382134</v>
      </c>
      <c r="I1339" s="67"/>
      <c r="J1339" s="313">
        <v>1.5937207531166907E-2</v>
      </c>
      <c r="K1339" s="215"/>
      <c r="L1339" s="111"/>
      <c r="M1339" s="111"/>
      <c r="N1339" s="215"/>
      <c r="O1339" s="111"/>
      <c r="P1339" s="111"/>
      <c r="Q1339" s="111"/>
      <c r="R1339" s="111"/>
      <c r="S1339" s="712"/>
      <c r="T1339" s="111"/>
      <c r="U1339" s="111"/>
      <c r="V1339" s="111"/>
      <c r="W1339" s="111"/>
      <c r="X1339" s="132"/>
      <c r="Y1339" s="133"/>
      <c r="Z1339" s="132"/>
      <c r="AA1339" s="132"/>
      <c r="AB1339" s="133"/>
      <c r="AC1339" s="132"/>
      <c r="AD1339" s="132"/>
      <c r="AE1339" s="133"/>
      <c r="AF1339" s="132"/>
      <c r="AG1339" s="67"/>
    </row>
    <row r="1340" spans="1:33">
      <c r="A1340" s="134"/>
      <c r="B1340" s="121"/>
      <c r="C1340" s="121" t="s">
        <v>1707</v>
      </c>
      <c r="D1340" s="121" t="s">
        <v>1711</v>
      </c>
      <c r="E1340" s="121" t="s">
        <v>875</v>
      </c>
      <c r="F1340" s="241">
        <f t="shared" ref="F1340:H1340" si="1166">F$1333*$J1340</f>
        <v>30458692.381117687</v>
      </c>
      <c r="G1340" s="241">
        <f t="shared" si="1166"/>
        <v>27593743.032724068</v>
      </c>
      <c r="H1340" s="241">
        <f t="shared" si="1166"/>
        <v>19998206.048148382</v>
      </c>
      <c r="I1340" s="67"/>
      <c r="J1340" s="313">
        <v>0.80108148479548225</v>
      </c>
      <c r="K1340" s="215"/>
      <c r="L1340" s="111"/>
      <c r="M1340" s="111"/>
      <c r="N1340" s="215"/>
      <c r="O1340" s="111"/>
      <c r="P1340" s="111"/>
      <c r="Q1340" s="111"/>
      <c r="R1340" s="111"/>
      <c r="S1340" s="712"/>
      <c r="T1340" s="111"/>
      <c r="U1340" s="111"/>
      <c r="V1340" s="111"/>
      <c r="W1340" s="111"/>
      <c r="X1340" s="132"/>
      <c r="Y1340" s="133"/>
      <c r="Z1340" s="132"/>
      <c r="AA1340" s="132"/>
      <c r="AB1340" s="133"/>
      <c r="AC1340" s="132"/>
      <c r="AD1340" s="132"/>
      <c r="AE1340" s="133"/>
      <c r="AF1340" s="132"/>
      <c r="AG1340" s="67"/>
    </row>
    <row r="1341" spans="1:33">
      <c r="A1341" s="134"/>
      <c r="B1341" s="121"/>
      <c r="C1341" s="121" t="s">
        <v>1707</v>
      </c>
      <c r="D1341" s="121" t="s">
        <v>1712</v>
      </c>
      <c r="E1341" s="121" t="s">
        <v>876</v>
      </c>
      <c r="F1341" s="241">
        <f t="shared" ref="F1341:H1341" si="1167">F$1333*$J1341</f>
        <v>604336.8960223808</v>
      </c>
      <c r="G1341" s="241">
        <f t="shared" si="1167"/>
        <v>547492.87347521167</v>
      </c>
      <c r="H1341" s="241">
        <f t="shared" si="1167"/>
        <v>396788.33279941708</v>
      </c>
      <c r="I1341" s="67"/>
      <c r="J1341" s="313">
        <v>1.589441503018774E-2</v>
      </c>
      <c r="K1341" s="215"/>
      <c r="L1341" s="111"/>
      <c r="M1341" s="111"/>
      <c r="N1341" s="215"/>
      <c r="O1341" s="111"/>
      <c r="P1341" s="111"/>
      <c r="Q1341" s="111"/>
      <c r="R1341" s="111"/>
      <c r="S1341" s="712"/>
      <c r="T1341" s="111"/>
      <c r="U1341" s="111"/>
      <c r="V1341" s="111"/>
      <c r="W1341" s="111"/>
      <c r="X1341" s="132"/>
      <c r="Y1341" s="133"/>
      <c r="Z1341" s="132"/>
      <c r="AA1341" s="132"/>
      <c r="AB1341" s="133"/>
      <c r="AC1341" s="132"/>
      <c r="AD1341" s="132"/>
      <c r="AE1341" s="133"/>
      <c r="AF1341" s="132"/>
      <c r="AG1341" s="67"/>
    </row>
    <row r="1342" spans="1:33">
      <c r="A1342" s="134"/>
      <c r="B1342" s="121"/>
      <c r="C1342" s="121" t="s">
        <v>1707</v>
      </c>
      <c r="D1342" s="121" t="s">
        <v>1708</v>
      </c>
      <c r="E1342" s="121" t="s">
        <v>809</v>
      </c>
      <c r="F1342" s="241">
        <f t="shared" ref="F1342:H1342" si="1168">F$1333*$J1342</f>
        <v>103089.70125123956</v>
      </c>
      <c r="G1342" s="241">
        <f t="shared" si="1168"/>
        <v>93393.067898426089</v>
      </c>
      <c r="H1342" s="241">
        <f t="shared" si="1168"/>
        <v>67685.410170214862</v>
      </c>
      <c r="I1342" s="67"/>
      <c r="J1342" s="313">
        <v>2.7113196427520198E-3</v>
      </c>
      <c r="K1342" s="215"/>
      <c r="L1342" s="111"/>
      <c r="M1342" s="111"/>
      <c r="N1342" s="215"/>
      <c r="O1342" s="111"/>
      <c r="P1342" s="111"/>
      <c r="Q1342" s="111"/>
      <c r="R1342" s="111"/>
      <c r="S1342" s="712"/>
      <c r="T1342" s="111"/>
      <c r="U1342" s="111"/>
      <c r="V1342" s="111"/>
      <c r="W1342" s="111"/>
      <c r="X1342" s="132"/>
      <c r="Y1342" s="133"/>
      <c r="Z1342" s="132"/>
      <c r="AA1342" s="132"/>
      <c r="AB1342" s="133"/>
      <c r="AC1342" s="132"/>
      <c r="AD1342" s="132"/>
      <c r="AE1342" s="133"/>
      <c r="AF1342" s="132"/>
      <c r="AG1342" s="67"/>
    </row>
    <row r="1343" spans="1:33">
      <c r="A1343" s="134"/>
      <c r="B1343" s="121"/>
      <c r="C1343" s="121" t="s">
        <v>1707</v>
      </c>
      <c r="D1343" s="121" t="s">
        <v>1708</v>
      </c>
      <c r="E1343" s="121" t="s">
        <v>881</v>
      </c>
      <c r="F1343" s="241">
        <f t="shared" ref="F1343:H1343" si="1169">F$1333*$J1343</f>
        <v>2642771.4281528564</v>
      </c>
      <c r="G1343" s="241">
        <f t="shared" si="1169"/>
        <v>2394191.9360885955</v>
      </c>
      <c r="H1343" s="241">
        <f t="shared" si="1169"/>
        <v>1735159.4381354339</v>
      </c>
      <c r="I1343" s="67"/>
      <c r="J1343" s="313">
        <v>6.9506439513214613E-2</v>
      </c>
      <c r="K1343" s="215"/>
      <c r="L1343" s="111"/>
      <c r="M1343" s="111"/>
      <c r="N1343" s="215"/>
      <c r="O1343" s="111"/>
      <c r="P1343" s="111"/>
      <c r="Q1343" s="111"/>
      <c r="R1343" s="111"/>
      <c r="S1343" s="712"/>
      <c r="T1343" s="111"/>
      <c r="U1343" s="111"/>
      <c r="V1343" s="111"/>
      <c r="W1343" s="111"/>
      <c r="X1343" s="132"/>
      <c r="Y1343" s="133"/>
      <c r="Z1343" s="132"/>
      <c r="AA1343" s="132"/>
      <c r="AB1343" s="133"/>
      <c r="AC1343" s="132"/>
      <c r="AD1343" s="132"/>
      <c r="AE1343" s="133"/>
      <c r="AF1343" s="132"/>
      <c r="AG1343" s="67"/>
    </row>
    <row r="1344" spans="1:33">
      <c r="A1344" s="134"/>
      <c r="B1344" s="121"/>
      <c r="C1344" s="121" t="s">
        <v>1707</v>
      </c>
      <c r="D1344" s="121" t="s">
        <v>1713</v>
      </c>
      <c r="E1344" s="121" t="s">
        <v>878</v>
      </c>
      <c r="F1344" s="241">
        <f t="shared" ref="F1344:H1344" si="1170">F$1333*$J1344</f>
        <v>1295750.3518088092</v>
      </c>
      <c r="G1344" s="241">
        <f t="shared" si="1170"/>
        <v>1173871.871943508</v>
      </c>
      <c r="H1344" s="241">
        <f t="shared" si="1170"/>
        <v>850748.35774950788</v>
      </c>
      <c r="I1344" s="67"/>
      <c r="J1344" s="313">
        <v>3.4078994684445467E-2</v>
      </c>
      <c r="K1344" s="215"/>
      <c r="L1344" s="111"/>
      <c r="M1344" s="111"/>
      <c r="N1344" s="215"/>
      <c r="O1344" s="111"/>
      <c r="P1344" s="111"/>
      <c r="Q1344" s="111"/>
      <c r="R1344" s="111"/>
      <c r="S1344" s="712"/>
      <c r="T1344" s="111"/>
      <c r="U1344" s="111"/>
      <c r="V1344" s="111"/>
      <c r="W1344" s="111"/>
      <c r="X1344" s="132"/>
      <c r="Y1344" s="133"/>
      <c r="Z1344" s="132"/>
      <c r="AA1344" s="132"/>
      <c r="AB1344" s="133"/>
      <c r="AC1344" s="132"/>
      <c r="AD1344" s="132"/>
      <c r="AE1344" s="133"/>
      <c r="AF1344" s="132"/>
      <c r="AG1344" s="67"/>
    </row>
    <row r="1345" spans="1:33">
      <c r="A1345" s="134"/>
      <c r="B1345" s="121"/>
      <c r="C1345" s="121" t="s">
        <v>1707</v>
      </c>
      <c r="D1345" s="121" t="s">
        <v>1708</v>
      </c>
      <c r="E1345" s="121" t="s">
        <v>877</v>
      </c>
      <c r="F1345" s="241">
        <f t="shared" ref="F1345:H1345" si="1171">F$1333*$J1345</f>
        <v>31415.903284186268</v>
      </c>
      <c r="G1345" s="241">
        <f t="shared" si="1171"/>
        <v>28460.918529193194</v>
      </c>
      <c r="H1345" s="241">
        <f t="shared" si="1171"/>
        <v>20626.680200340375</v>
      </c>
      <c r="I1345" s="67"/>
      <c r="J1345" s="313">
        <v>8.2625669330075506E-4</v>
      </c>
      <c r="K1345" s="215"/>
      <c r="L1345" s="111"/>
      <c r="M1345" s="111"/>
      <c r="N1345" s="215"/>
      <c r="O1345" s="111"/>
      <c r="P1345" s="111"/>
      <c r="Q1345" s="111"/>
      <c r="R1345" s="111"/>
      <c r="S1345" s="712"/>
      <c r="T1345" s="111"/>
      <c r="U1345" s="111"/>
      <c r="V1345" s="111"/>
      <c r="W1345" s="111"/>
      <c r="X1345" s="132"/>
      <c r="Y1345" s="133"/>
      <c r="Z1345" s="132"/>
      <c r="AA1345" s="132"/>
      <c r="AB1345" s="133"/>
      <c r="AC1345" s="132"/>
      <c r="AD1345" s="132"/>
      <c r="AE1345" s="133"/>
      <c r="AF1345" s="132"/>
      <c r="AG1345" s="67"/>
    </row>
    <row r="1346" spans="1:33">
      <c r="A1346" s="134"/>
      <c r="B1346" s="121"/>
      <c r="C1346" s="121" t="s">
        <v>1707</v>
      </c>
      <c r="D1346" s="121" t="s">
        <v>1708</v>
      </c>
      <c r="E1346" s="121" t="s">
        <v>882</v>
      </c>
      <c r="F1346" s="241">
        <f t="shared" ref="F1346:H1346" si="1172">F$1333*$J1346</f>
        <v>357687.50205270882</v>
      </c>
      <c r="G1346" s="241">
        <f t="shared" si="1172"/>
        <v>324043.35991055536</v>
      </c>
      <c r="H1346" s="241">
        <f t="shared" si="1172"/>
        <v>234846.20670492103</v>
      </c>
      <c r="I1346" s="67"/>
      <c r="J1346" s="313">
        <v>9.4073912186330225E-3</v>
      </c>
      <c r="K1346" s="215"/>
      <c r="L1346" s="111"/>
      <c r="M1346" s="111"/>
      <c r="N1346" s="215"/>
      <c r="O1346" s="111"/>
      <c r="P1346" s="111"/>
      <c r="Q1346" s="111"/>
      <c r="R1346" s="111"/>
      <c r="S1346" s="712"/>
      <c r="T1346" s="111"/>
      <c r="U1346" s="111"/>
      <c r="V1346" s="111"/>
      <c r="W1346" s="111"/>
      <c r="X1346" s="132"/>
      <c r="Y1346" s="133"/>
      <c r="Z1346" s="132"/>
      <c r="AA1346" s="132"/>
      <c r="AB1346" s="133"/>
      <c r="AC1346" s="132"/>
      <c r="AD1346" s="132"/>
      <c r="AE1346" s="133"/>
      <c r="AF1346" s="132"/>
      <c r="AG1346" s="67"/>
    </row>
    <row r="1347" spans="1:33">
      <c r="A1347" s="134"/>
      <c r="B1347" s="121"/>
      <c r="C1347" s="121" t="s">
        <v>1707</v>
      </c>
      <c r="D1347" s="121" t="s">
        <v>1714</v>
      </c>
      <c r="E1347" s="121" t="s">
        <v>882</v>
      </c>
      <c r="F1347" s="241">
        <f t="shared" ref="F1347:H1347" si="1173">F$1333*$J1347</f>
        <v>1285935.1355457858</v>
      </c>
      <c r="G1347" s="241">
        <f t="shared" si="1173"/>
        <v>1164979.8764506094</v>
      </c>
      <c r="H1347" s="241">
        <f t="shared" si="1173"/>
        <v>844303.9997718567</v>
      </c>
      <c r="I1347" s="67"/>
      <c r="J1347" s="736">
        <v>3.3820848736510881E-2</v>
      </c>
      <c r="K1347" s="215"/>
      <c r="L1347" s="111"/>
      <c r="M1347" s="111"/>
      <c r="N1347" s="215"/>
      <c r="O1347" s="111"/>
      <c r="P1347" s="111"/>
      <c r="Q1347" s="111"/>
      <c r="R1347" s="111"/>
      <c r="S1347" s="712"/>
      <c r="T1347" s="111"/>
      <c r="U1347" s="111"/>
      <c r="V1347" s="111"/>
      <c r="W1347" s="111"/>
      <c r="X1347" s="132"/>
      <c r="Y1347" s="133"/>
      <c r="Z1347" s="132"/>
      <c r="AA1347" s="132"/>
      <c r="AB1347" s="133"/>
      <c r="AC1347" s="132"/>
      <c r="AD1347" s="132"/>
      <c r="AE1347" s="133"/>
      <c r="AF1347" s="132"/>
      <c r="AG1347" s="67"/>
    </row>
    <row r="1348" spans="1:33">
      <c r="A1348" s="9"/>
      <c r="B1348" s="215"/>
      <c r="C1348" s="215"/>
      <c r="D1348" s="215"/>
      <c r="E1348" s="215"/>
      <c r="F1348" s="215"/>
      <c r="G1348" s="215"/>
      <c r="H1348" s="215"/>
      <c r="I1348" s="215"/>
      <c r="J1348" s="215"/>
      <c r="K1348" s="215"/>
      <c r="L1348" s="111"/>
      <c r="M1348" s="111"/>
      <c r="N1348" s="215"/>
      <c r="O1348" s="111"/>
      <c r="P1348" s="111"/>
      <c r="Q1348" s="111"/>
      <c r="R1348" s="111"/>
      <c r="S1348" s="712"/>
      <c r="T1348" s="111"/>
      <c r="U1348" s="111"/>
      <c r="V1348" s="111"/>
      <c r="W1348" s="111"/>
      <c r="X1348" s="132"/>
      <c r="Y1348" s="133"/>
      <c r="Z1348" s="132"/>
      <c r="AA1348" s="132"/>
      <c r="AB1348" s="133"/>
      <c r="AC1348" s="132"/>
      <c r="AD1348" s="132"/>
      <c r="AE1348" s="133"/>
      <c r="AF1348" s="132"/>
      <c r="AG1348" s="67"/>
    </row>
    <row r="1349" spans="1:33">
      <c r="A1349" s="9"/>
      <c r="B1349" s="215"/>
      <c r="C1349" s="215"/>
      <c r="D1349" s="215"/>
      <c r="E1349" s="215"/>
      <c r="F1349" s="215"/>
      <c r="G1349" s="215"/>
      <c r="H1349" s="215"/>
      <c r="I1349" s="215"/>
      <c r="J1349" s="215"/>
      <c r="K1349" s="215"/>
      <c r="L1349" s="111"/>
      <c r="M1349" s="111"/>
      <c r="N1349" s="215"/>
      <c r="O1349" s="111"/>
      <c r="P1349" s="111"/>
      <c r="Q1349" s="111"/>
      <c r="R1349" s="111"/>
      <c r="S1349" s="712"/>
      <c r="T1349" s="111"/>
      <c r="U1349" s="111"/>
      <c r="V1349" s="111"/>
      <c r="W1349" s="111"/>
      <c r="X1349" s="132"/>
      <c r="Y1349" s="133"/>
      <c r="Z1349" s="132"/>
      <c r="AA1349" s="132"/>
      <c r="AB1349" s="133"/>
      <c r="AC1349" s="132"/>
      <c r="AD1349" s="132"/>
      <c r="AE1349" s="133"/>
      <c r="AF1349" s="132"/>
      <c r="AG1349" s="67"/>
    </row>
    <row r="1350" spans="1:33">
      <c r="A1350" s="9"/>
      <c r="B1350" s="215"/>
      <c r="C1350" s="215"/>
      <c r="D1350" s="215"/>
      <c r="E1350" s="215"/>
      <c r="F1350" s="215"/>
      <c r="G1350" s="215"/>
      <c r="H1350" s="215"/>
      <c r="I1350" s="215"/>
      <c r="J1350" s="215"/>
      <c r="K1350" s="215"/>
      <c r="L1350" s="111"/>
      <c r="M1350" s="111"/>
      <c r="N1350" s="215"/>
      <c r="O1350" s="111"/>
      <c r="P1350" s="111"/>
      <c r="Q1350" s="111"/>
      <c r="R1350" s="111"/>
      <c r="S1350" s="712"/>
      <c r="T1350" s="111"/>
      <c r="U1350" s="111"/>
      <c r="V1350" s="111"/>
      <c r="W1350" s="111"/>
      <c r="X1350" s="132"/>
      <c r="Y1350" s="133"/>
      <c r="Z1350" s="132"/>
      <c r="AA1350" s="132"/>
      <c r="AB1350" s="133"/>
      <c r="AC1350" s="132"/>
      <c r="AD1350" s="132"/>
      <c r="AE1350" s="133"/>
      <c r="AF1350" s="132"/>
      <c r="AG1350" s="67"/>
    </row>
    <row r="1351" spans="1:33">
      <c r="A1351" s="9"/>
      <c r="B1351" s="215"/>
      <c r="C1351" s="215"/>
      <c r="D1351" s="215"/>
      <c r="E1351" s="215"/>
      <c r="F1351" s="215"/>
      <c r="G1351" s="215"/>
      <c r="H1351" s="215"/>
      <c r="I1351" s="215"/>
      <c r="J1351" s="215"/>
      <c r="K1351" s="215"/>
      <c r="L1351" s="111"/>
      <c r="M1351" s="111"/>
      <c r="N1351" s="215"/>
      <c r="O1351" s="111"/>
      <c r="P1351" s="111"/>
      <c r="Q1351" s="111"/>
      <c r="R1351" s="111"/>
      <c r="S1351" s="712"/>
      <c r="T1351" s="111"/>
      <c r="U1351" s="111"/>
      <c r="V1351" s="111"/>
      <c r="W1351" s="111"/>
      <c r="X1351" s="132"/>
      <c r="Y1351" s="133"/>
      <c r="Z1351" s="132"/>
      <c r="AA1351" s="132"/>
      <c r="AB1351" s="133"/>
      <c r="AC1351" s="132"/>
      <c r="AD1351" s="132"/>
      <c r="AE1351" s="133"/>
      <c r="AF1351" s="132"/>
      <c r="AG1351" s="67"/>
    </row>
    <row r="1352" spans="1:33">
      <c r="A1352" s="9"/>
      <c r="B1352" s="215"/>
      <c r="C1352" s="215"/>
      <c r="D1352" s="215"/>
      <c r="E1352" s="215"/>
      <c r="F1352" s="215"/>
      <c r="G1352" s="215"/>
      <c r="H1352" s="215"/>
      <c r="I1352" s="215"/>
      <c r="J1352" s="215"/>
      <c r="K1352" s="215"/>
      <c r="L1352" s="111"/>
      <c r="M1352" s="111"/>
      <c r="N1352" s="215"/>
      <c r="O1352" s="111"/>
      <c r="P1352" s="111"/>
      <c r="Q1352" s="111"/>
      <c r="R1352" s="111"/>
      <c r="S1352" s="712"/>
      <c r="T1352" s="111"/>
      <c r="U1352" s="111"/>
      <c r="V1352" s="111"/>
      <c r="W1352" s="111"/>
      <c r="X1352" s="132"/>
      <c r="Y1352" s="133"/>
      <c r="Z1352" s="132"/>
      <c r="AA1352" s="132"/>
      <c r="AB1352" s="133"/>
      <c r="AC1352" s="132"/>
      <c r="AD1352" s="132"/>
      <c r="AE1352" s="133"/>
      <c r="AF1352" s="132"/>
      <c r="AG1352" s="67"/>
    </row>
    <row r="1353" spans="1:33">
      <c r="A1353" s="9"/>
      <c r="B1353" s="215"/>
      <c r="C1353" s="215"/>
      <c r="D1353" s="215"/>
      <c r="E1353" s="215"/>
      <c r="F1353" s="215"/>
      <c r="G1353" s="215"/>
      <c r="H1353" s="215"/>
      <c r="I1353" s="215"/>
      <c r="J1353" s="215"/>
      <c r="K1353" s="215"/>
      <c r="L1353" s="111"/>
      <c r="M1353" s="111"/>
      <c r="N1353" s="215"/>
      <c r="O1353" s="111"/>
      <c r="P1353" s="111"/>
      <c r="Q1353" s="111"/>
      <c r="R1353" s="111"/>
      <c r="S1353" s="712"/>
      <c r="T1353" s="111"/>
      <c r="U1353" s="111"/>
      <c r="V1353" s="111"/>
      <c r="W1353" s="111"/>
      <c r="X1353" s="132"/>
      <c r="Y1353" s="133"/>
      <c r="Z1353" s="132"/>
      <c r="AA1353" s="132"/>
      <c r="AB1353" s="133"/>
      <c r="AC1353" s="132"/>
      <c r="AD1353" s="132"/>
      <c r="AE1353" s="133"/>
      <c r="AF1353" s="132"/>
      <c r="AG1353" s="67"/>
    </row>
    <row r="1354" spans="1:33">
      <c r="A1354" s="9"/>
      <c r="B1354" s="215"/>
      <c r="C1354" s="215"/>
      <c r="D1354" s="215"/>
      <c r="E1354" s="215"/>
      <c r="F1354" s="215"/>
      <c r="G1354" s="215"/>
      <c r="H1354" s="215"/>
      <c r="I1354" s="215"/>
      <c r="J1354" s="215"/>
      <c r="K1354" s="215"/>
      <c r="L1354" s="111"/>
      <c r="M1354" s="111"/>
      <c r="N1354" s="215"/>
      <c r="O1354" s="111"/>
      <c r="P1354" s="111"/>
      <c r="Q1354" s="111"/>
      <c r="R1354" s="111"/>
      <c r="S1354" s="712"/>
      <c r="T1354" s="111"/>
      <c r="U1354" s="111"/>
      <c r="V1354" s="111"/>
      <c r="W1354" s="111"/>
      <c r="X1354" s="132"/>
      <c r="Y1354" s="133"/>
      <c r="Z1354" s="132"/>
      <c r="AA1354" s="132"/>
      <c r="AB1354" s="133"/>
      <c r="AC1354" s="132"/>
      <c r="AD1354" s="132"/>
      <c r="AE1354" s="133"/>
      <c r="AF1354" s="132"/>
      <c r="AG1354" s="67"/>
    </row>
    <row r="1355" spans="1:33">
      <c r="A1355" s="737" t="s">
        <v>818</v>
      </c>
      <c r="B1355" s="738"/>
      <c r="C1355" s="738"/>
      <c r="D1355" s="738"/>
      <c r="E1355" s="738"/>
      <c r="F1355" s="738"/>
      <c r="G1355" s="738"/>
      <c r="H1355" s="738"/>
      <c r="I1355" s="738"/>
      <c r="J1355" s="738"/>
      <c r="K1355" s="738"/>
      <c r="L1355" s="718"/>
      <c r="M1355" s="718"/>
      <c r="N1355" s="738"/>
      <c r="O1355" s="718"/>
      <c r="P1355" s="718"/>
      <c r="Q1355" s="718"/>
      <c r="R1355" s="718"/>
      <c r="S1355" s="718"/>
      <c r="T1355" s="718"/>
      <c r="U1355" s="718"/>
      <c r="V1355" s="718"/>
      <c r="W1355" s="718"/>
      <c r="X1355" s="739"/>
      <c r="Y1355" s="740"/>
      <c r="Z1355" s="739"/>
      <c r="AA1355" s="739"/>
      <c r="AB1355" s="740"/>
      <c r="AC1355" s="739"/>
      <c r="AD1355" s="739"/>
      <c r="AE1355" s="740"/>
      <c r="AF1355" s="739"/>
      <c r="AG1355" s="67"/>
    </row>
    <row r="1356" spans="1:33">
      <c r="A1356" s="9"/>
      <c r="B1356" s="215"/>
      <c r="C1356" s="215"/>
      <c r="D1356" s="215"/>
      <c r="E1356" s="215"/>
      <c r="F1356" s="215"/>
      <c r="G1356" s="215"/>
      <c r="H1356" s="215"/>
      <c r="I1356" s="215"/>
      <c r="J1356" s="215"/>
      <c r="K1356" s="215"/>
      <c r="L1356" s="111"/>
      <c r="M1356" s="111"/>
      <c r="N1356" s="215"/>
      <c r="O1356" s="111"/>
      <c r="P1356" s="111"/>
      <c r="Q1356" s="111"/>
      <c r="R1356" s="111"/>
      <c r="S1356" s="712"/>
      <c r="T1356" s="111"/>
      <c r="U1356" s="111"/>
      <c r="V1356" s="111"/>
      <c r="W1356" s="111"/>
      <c r="X1356" s="132"/>
      <c r="Y1356" s="133"/>
      <c r="Z1356" s="132"/>
      <c r="AA1356" s="132"/>
      <c r="AB1356" s="133"/>
      <c r="AC1356" s="132"/>
      <c r="AD1356" s="132"/>
      <c r="AE1356" s="133"/>
      <c r="AF1356" s="132"/>
      <c r="AG1356" s="67"/>
    </row>
    <row r="1357" spans="1:33">
      <c r="A1357" s="9"/>
      <c r="B1357" s="215"/>
      <c r="C1357" s="215"/>
      <c r="D1357" s="215"/>
      <c r="E1357" s="215"/>
      <c r="F1357" s="215"/>
      <c r="G1357" s="215"/>
      <c r="H1357" s="215"/>
      <c r="I1357" s="215"/>
      <c r="J1357" s="215"/>
      <c r="K1357" s="215"/>
      <c r="L1357" s="111"/>
      <c r="M1357" s="111"/>
      <c r="N1357" s="215"/>
      <c r="O1357" s="111"/>
      <c r="P1357" s="111"/>
      <c r="Q1357" s="111"/>
      <c r="R1357" s="111"/>
      <c r="S1357" s="712"/>
      <c r="T1357" s="111"/>
      <c r="U1357" s="111"/>
      <c r="V1357" s="111"/>
      <c r="W1357" s="111"/>
      <c r="X1357" s="132"/>
      <c r="Y1357" s="133"/>
      <c r="Z1357" s="132"/>
      <c r="AA1357" s="132"/>
      <c r="AB1357" s="133"/>
      <c r="AC1357" s="132"/>
      <c r="AD1357" s="132"/>
      <c r="AE1357" s="133"/>
      <c r="AF1357" s="132"/>
      <c r="AG1357" s="67"/>
    </row>
    <row r="1358" spans="1:33">
      <c r="A1358" s="9"/>
      <c r="B1358" s="215"/>
      <c r="C1358" s="215"/>
      <c r="D1358" s="215"/>
      <c r="E1358" s="215"/>
      <c r="F1358" s="215"/>
      <c r="G1358" s="215"/>
      <c r="H1358" s="215"/>
      <c r="I1358" s="215"/>
      <c r="J1358" s="215"/>
      <c r="K1358" s="215"/>
      <c r="L1358" s="111"/>
      <c r="M1358" s="111"/>
      <c r="N1358" s="215"/>
      <c r="O1358" s="111"/>
      <c r="P1358" s="111"/>
      <c r="Q1358" s="111"/>
      <c r="R1358" s="111"/>
      <c r="S1358" s="712"/>
      <c r="T1358" s="111"/>
      <c r="U1358" s="111"/>
      <c r="V1358" s="111"/>
      <c r="W1358" s="111"/>
      <c r="X1358" s="132"/>
      <c r="Y1358" s="133"/>
      <c r="Z1358" s="132"/>
      <c r="AA1358" s="132"/>
      <c r="AB1358" s="133"/>
      <c r="AC1358" s="132"/>
      <c r="AD1358" s="132"/>
      <c r="AE1358" s="133"/>
      <c r="AF1358" s="132"/>
      <c r="AG1358" s="67"/>
    </row>
    <row r="1359" spans="1:33">
      <c r="A1359" s="9"/>
      <c r="B1359" s="215"/>
      <c r="C1359" s="215"/>
      <c r="D1359" s="215"/>
      <c r="E1359" s="215"/>
      <c r="F1359" s="215"/>
      <c r="G1359" s="215"/>
      <c r="H1359" s="215"/>
      <c r="I1359" s="215"/>
      <c r="J1359" s="215"/>
      <c r="K1359" s="215"/>
      <c r="L1359" s="111"/>
      <c r="M1359" s="111"/>
      <c r="N1359" s="215"/>
      <c r="O1359" s="111"/>
      <c r="P1359" s="111"/>
      <c r="Q1359" s="111"/>
      <c r="R1359" s="111"/>
      <c r="S1359" s="712"/>
      <c r="T1359" s="111"/>
      <c r="U1359" s="111"/>
      <c r="V1359" s="111"/>
      <c r="W1359" s="111"/>
      <c r="X1359" s="132"/>
      <c r="Y1359" s="133"/>
      <c r="Z1359" s="132"/>
      <c r="AA1359" s="132"/>
      <c r="AB1359" s="133"/>
      <c r="AC1359" s="132"/>
      <c r="AD1359" s="132"/>
      <c r="AE1359" s="133"/>
      <c r="AF1359" s="132"/>
      <c r="AG1359" s="67"/>
    </row>
    <row r="1360" spans="1:33">
      <c r="A1360" s="9"/>
      <c r="B1360" s="215"/>
      <c r="C1360" s="215"/>
      <c r="D1360" s="215"/>
      <c r="E1360" s="215"/>
      <c r="F1360" s="215"/>
      <c r="G1360" s="215"/>
      <c r="H1360" s="215"/>
      <c r="I1360" s="215"/>
      <c r="J1360" s="215"/>
      <c r="K1360" s="215"/>
      <c r="L1360" s="111"/>
      <c r="M1360" s="111"/>
      <c r="N1360" s="215"/>
      <c r="O1360" s="111"/>
      <c r="P1360" s="111"/>
      <c r="Q1360" s="111"/>
      <c r="R1360" s="111"/>
      <c r="S1360" s="712"/>
      <c r="T1360" s="111"/>
      <c r="U1360" s="111"/>
      <c r="V1360" s="111"/>
      <c r="W1360" s="111"/>
      <c r="X1360" s="132"/>
      <c r="Y1360" s="133"/>
      <c r="Z1360" s="132"/>
      <c r="AA1360" s="132"/>
      <c r="AB1360" s="133"/>
      <c r="AC1360" s="132"/>
      <c r="AD1360" s="132"/>
      <c r="AE1360" s="133"/>
      <c r="AF1360" s="132"/>
      <c r="AG1360" s="67"/>
    </row>
    <row r="1361" spans="1:33">
      <c r="A1361" s="741">
        <v>78</v>
      </c>
      <c r="B1361" s="703" t="s">
        <v>1715</v>
      </c>
      <c r="C1361" s="742"/>
      <c r="D1361" s="742"/>
      <c r="E1361" s="742"/>
      <c r="F1361" s="742"/>
      <c r="G1361" s="742"/>
      <c r="H1361" s="742"/>
      <c r="I1361" s="216">
        <v>300</v>
      </c>
      <c r="J1361" s="216">
        <v>250</v>
      </c>
      <c r="K1361" s="216">
        <v>150</v>
      </c>
      <c r="L1361" s="111"/>
      <c r="M1361" s="111"/>
      <c r="N1361" s="111"/>
      <c r="O1361" s="111"/>
      <c r="P1361" s="111"/>
      <c r="Q1361" s="111"/>
      <c r="R1361" s="111"/>
      <c r="S1361" s="712"/>
      <c r="T1361" s="111"/>
      <c r="U1361" s="111"/>
      <c r="V1361" s="111"/>
      <c r="W1361" s="111"/>
      <c r="X1361" s="132"/>
      <c r="Y1361" s="133"/>
      <c r="Z1361" s="132"/>
      <c r="AA1361" s="132"/>
      <c r="AB1361" s="133"/>
      <c r="AC1361" s="132"/>
      <c r="AD1361" s="132"/>
      <c r="AE1361" s="133"/>
      <c r="AF1361" s="132"/>
      <c r="AG1361" s="67"/>
    </row>
    <row r="1362" spans="1:33">
      <c r="A1362" s="134"/>
      <c r="B1362" s="314" t="s">
        <v>755</v>
      </c>
      <c r="C1362" s="315" t="s">
        <v>966</v>
      </c>
      <c r="D1362" s="315" t="s">
        <v>967</v>
      </c>
      <c r="E1362" s="315" t="s">
        <v>968</v>
      </c>
      <c r="F1362" s="315" t="s">
        <v>969</v>
      </c>
      <c r="G1362" s="315" t="s">
        <v>970</v>
      </c>
      <c r="H1362" s="315" t="s">
        <v>971</v>
      </c>
      <c r="I1362" s="113" t="s">
        <v>972</v>
      </c>
      <c r="J1362" s="113" t="s">
        <v>973</v>
      </c>
      <c r="K1362" s="113" t="s">
        <v>974</v>
      </c>
      <c r="L1362" s="111"/>
      <c r="M1362" s="111"/>
      <c r="N1362" s="111"/>
      <c r="O1362" s="111"/>
      <c r="P1362" s="111"/>
      <c r="Q1362" s="111"/>
      <c r="R1362" s="111"/>
      <c r="S1362" s="712"/>
      <c r="T1362" s="316" t="s">
        <v>387</v>
      </c>
      <c r="U1362" s="316" t="s">
        <v>388</v>
      </c>
      <c r="V1362" s="316" t="s">
        <v>934</v>
      </c>
      <c r="W1362" s="317" t="s">
        <v>935</v>
      </c>
      <c r="X1362" s="172" t="s">
        <v>936</v>
      </c>
      <c r="Y1362" s="162" t="s">
        <v>937</v>
      </c>
      <c r="Z1362" s="172" t="s">
        <v>938</v>
      </c>
      <c r="AA1362" s="172" t="s">
        <v>939</v>
      </c>
      <c r="AB1362" s="162" t="s">
        <v>940</v>
      </c>
      <c r="AC1362" s="172" t="s">
        <v>941</v>
      </c>
      <c r="AD1362" s="172" t="s">
        <v>942</v>
      </c>
      <c r="AE1362" s="162" t="s">
        <v>943</v>
      </c>
      <c r="AF1362" s="172" t="s">
        <v>944</v>
      </c>
      <c r="AG1362" s="67"/>
    </row>
    <row r="1363" spans="1:33">
      <c r="A1363" s="134"/>
      <c r="B1363" s="202">
        <v>1</v>
      </c>
      <c r="C1363" s="202"/>
      <c r="D1363" s="121" t="s">
        <v>1716</v>
      </c>
      <c r="E1363" s="209">
        <v>1</v>
      </c>
      <c r="F1363" s="164">
        <v>3</v>
      </c>
      <c r="G1363" s="164">
        <f>'Assumptions HR_AUN'!$F$8</f>
        <v>80.053187003968247</v>
      </c>
      <c r="H1363" s="164">
        <f t="shared" ref="H1363:H1366" si="1174">E1363*F1363*G1363</f>
        <v>240.15956101190474</v>
      </c>
      <c r="I1363" s="164">
        <f t="shared" ref="I1363:K1363" si="1175">$H1363*I$1361</f>
        <v>72047.86830357142</v>
      </c>
      <c r="J1363" s="164">
        <f t="shared" si="1175"/>
        <v>60039.890252976184</v>
      </c>
      <c r="K1363" s="164">
        <f t="shared" si="1175"/>
        <v>36023.93415178571</v>
      </c>
      <c r="L1363" s="111"/>
      <c r="M1363" s="111"/>
      <c r="N1363" s="111"/>
      <c r="O1363" s="111"/>
      <c r="P1363" s="111"/>
      <c r="Q1363" s="111"/>
      <c r="R1363" s="111"/>
      <c r="S1363" s="712"/>
      <c r="T1363" s="169" t="e">
        <f>'[2]AUN Budget'!#REF!</f>
        <v>#REF!</v>
      </c>
      <c r="U1363" s="169" t="e">
        <f>'[2]AUN Budget'!#REF!</f>
        <v>#REF!</v>
      </c>
      <c r="V1363" s="121" t="s">
        <v>977</v>
      </c>
      <c r="W1363" s="121" t="s">
        <v>961</v>
      </c>
      <c r="X1363" s="170">
        <f t="shared" ref="X1363:X1366" si="1176">G1363*$D$35*$D$36</f>
        <v>40346.806249999994</v>
      </c>
      <c r="Y1363" s="200">
        <f t="shared" ref="Y1363:Y1374" si="1177">I1363/X1363</f>
        <v>1.7857142857142858</v>
      </c>
      <c r="Z1363" s="167">
        <f t="shared" ref="Z1363:Z1374" si="1178">X1363*Y1363</f>
        <v>72047.86830357142</v>
      </c>
      <c r="AA1363" s="164">
        <f t="shared" ref="AA1363:AA1374" si="1179">X1363</f>
        <v>40346.806249999994</v>
      </c>
      <c r="AB1363" s="200">
        <f t="shared" ref="AB1363:AB1374" si="1180">J1363/AA1363</f>
        <v>1.4880952380952381</v>
      </c>
      <c r="AC1363" s="167">
        <f t="shared" ref="AC1363:AC1374" si="1181">AA1363*AB1363</f>
        <v>60039.890252976184</v>
      </c>
      <c r="AD1363" s="164">
        <f t="shared" ref="AD1363:AD1374" si="1182">AA1363</f>
        <v>40346.806249999994</v>
      </c>
      <c r="AE1363" s="200">
        <f t="shared" ref="AE1363:AE1374" si="1183">K1363/AD1363</f>
        <v>0.8928571428571429</v>
      </c>
      <c r="AF1363" s="167">
        <f t="shared" ref="AF1363:AF1374" si="1184">AD1363*AE1363</f>
        <v>36023.93415178571</v>
      </c>
      <c r="AG1363" s="67"/>
    </row>
    <row r="1364" spans="1:33">
      <c r="A1364" s="134"/>
      <c r="B1364" s="202">
        <v>2</v>
      </c>
      <c r="C1364" s="202"/>
      <c r="D1364" s="121" t="s">
        <v>1717</v>
      </c>
      <c r="E1364" s="209">
        <v>1</v>
      </c>
      <c r="F1364" s="164">
        <f t="shared" ref="F1364:F1365" si="1185">3*0.7</f>
        <v>2.0999999999999996</v>
      </c>
      <c r="G1364" s="164">
        <f>'Assumptions HR_AUN'!$F$8</f>
        <v>80.053187003968247</v>
      </c>
      <c r="H1364" s="164">
        <f t="shared" si="1174"/>
        <v>168.11169270833329</v>
      </c>
      <c r="I1364" s="164">
        <f t="shared" ref="I1364:K1364" si="1186">$H1364*I$1361</f>
        <v>50433.507812499985</v>
      </c>
      <c r="J1364" s="164">
        <f t="shared" si="1186"/>
        <v>42027.923177083321</v>
      </c>
      <c r="K1364" s="164">
        <f t="shared" si="1186"/>
        <v>25216.753906249993</v>
      </c>
      <c r="L1364" s="111"/>
      <c r="M1364" s="111"/>
      <c r="N1364" s="111"/>
      <c r="O1364" s="111"/>
      <c r="P1364" s="111"/>
      <c r="Q1364" s="111"/>
      <c r="R1364" s="111"/>
      <c r="S1364" s="712"/>
      <c r="T1364" s="169" t="e">
        <f>'[2]AUN Budget'!#REF!</f>
        <v>#REF!</v>
      </c>
      <c r="U1364" s="169" t="e">
        <f>'[2]AUN Budget'!#REF!</f>
        <v>#REF!</v>
      </c>
      <c r="V1364" s="121" t="s">
        <v>977</v>
      </c>
      <c r="W1364" s="121" t="s">
        <v>961</v>
      </c>
      <c r="X1364" s="170">
        <f t="shared" si="1176"/>
        <v>40346.806249999994</v>
      </c>
      <c r="Y1364" s="200">
        <f t="shared" si="1177"/>
        <v>1.2499999999999998</v>
      </c>
      <c r="Z1364" s="167">
        <f t="shared" si="1178"/>
        <v>50433.507812499985</v>
      </c>
      <c r="AA1364" s="164">
        <f t="shared" si="1179"/>
        <v>40346.806249999994</v>
      </c>
      <c r="AB1364" s="200">
        <f t="shared" si="1180"/>
        <v>1.0416666666666665</v>
      </c>
      <c r="AC1364" s="167">
        <f t="shared" si="1181"/>
        <v>42027.923177083321</v>
      </c>
      <c r="AD1364" s="164">
        <f t="shared" si="1182"/>
        <v>40346.806249999994</v>
      </c>
      <c r="AE1364" s="200">
        <f t="shared" si="1183"/>
        <v>0.62499999999999989</v>
      </c>
      <c r="AF1364" s="167">
        <f t="shared" si="1184"/>
        <v>25216.753906249993</v>
      </c>
      <c r="AG1364" s="67"/>
    </row>
    <row r="1365" spans="1:33">
      <c r="A1365" s="134"/>
      <c r="B1365" s="202">
        <v>3</v>
      </c>
      <c r="C1365" s="202"/>
      <c r="D1365" s="121" t="s">
        <v>1718</v>
      </c>
      <c r="E1365" s="209">
        <v>1</v>
      </c>
      <c r="F1365" s="164">
        <f t="shared" si="1185"/>
        <v>2.0999999999999996</v>
      </c>
      <c r="G1365" s="164">
        <f>'Assumptions HR_AUN'!$F$8</f>
        <v>80.053187003968247</v>
      </c>
      <c r="H1365" s="164">
        <f t="shared" si="1174"/>
        <v>168.11169270833329</v>
      </c>
      <c r="I1365" s="164">
        <f t="shared" ref="I1365:K1365" si="1187">$H1365*I$1361</f>
        <v>50433.507812499985</v>
      </c>
      <c r="J1365" s="164">
        <f t="shared" si="1187"/>
        <v>42027.923177083321</v>
      </c>
      <c r="K1365" s="164">
        <f t="shared" si="1187"/>
        <v>25216.753906249993</v>
      </c>
      <c r="L1365" s="111"/>
      <c r="M1365" s="111"/>
      <c r="N1365" s="111"/>
      <c r="O1365" s="111"/>
      <c r="P1365" s="111"/>
      <c r="Q1365" s="111"/>
      <c r="R1365" s="111"/>
      <c r="S1365" s="712"/>
      <c r="T1365" s="169" t="e">
        <f>'[2]AUN Budget'!#REF!</f>
        <v>#REF!</v>
      </c>
      <c r="U1365" s="169" t="e">
        <f>'[2]AUN Budget'!#REF!</f>
        <v>#REF!</v>
      </c>
      <c r="V1365" s="121" t="s">
        <v>977</v>
      </c>
      <c r="W1365" s="121" t="s">
        <v>961</v>
      </c>
      <c r="X1365" s="170">
        <f t="shared" si="1176"/>
        <v>40346.806249999994</v>
      </c>
      <c r="Y1365" s="200">
        <f t="shared" si="1177"/>
        <v>1.2499999999999998</v>
      </c>
      <c r="Z1365" s="167">
        <f t="shared" si="1178"/>
        <v>50433.507812499985</v>
      </c>
      <c r="AA1365" s="164">
        <f t="shared" si="1179"/>
        <v>40346.806249999994</v>
      </c>
      <c r="AB1365" s="200">
        <f t="shared" si="1180"/>
        <v>1.0416666666666665</v>
      </c>
      <c r="AC1365" s="167">
        <f t="shared" si="1181"/>
        <v>42027.923177083321</v>
      </c>
      <c r="AD1365" s="164">
        <f t="shared" si="1182"/>
        <v>40346.806249999994</v>
      </c>
      <c r="AE1365" s="200">
        <f t="shared" si="1183"/>
        <v>0.62499999999999989</v>
      </c>
      <c r="AF1365" s="167">
        <f t="shared" si="1184"/>
        <v>25216.753906249993</v>
      </c>
      <c r="AG1365" s="67"/>
    </row>
    <row r="1366" spans="1:33">
      <c r="A1366" s="134"/>
      <c r="B1366" s="202">
        <v>4</v>
      </c>
      <c r="C1366" s="202"/>
      <c r="D1366" s="121" t="s">
        <v>1719</v>
      </c>
      <c r="E1366" s="209">
        <v>1</v>
      </c>
      <c r="F1366" s="164">
        <v>1.5</v>
      </c>
      <c r="G1366" s="164">
        <f>'Assumptions HR_AUN'!$F$8</f>
        <v>80.053187003968247</v>
      </c>
      <c r="H1366" s="164">
        <f t="shared" si="1174"/>
        <v>120.07978050595237</v>
      </c>
      <c r="I1366" s="164">
        <f t="shared" ref="I1366:K1366" si="1188">$H1366*I$1361</f>
        <v>36023.93415178571</v>
      </c>
      <c r="J1366" s="164">
        <f t="shared" si="1188"/>
        <v>30019.945126488092</v>
      </c>
      <c r="K1366" s="164">
        <f t="shared" si="1188"/>
        <v>18011.967075892855</v>
      </c>
      <c r="L1366" s="111"/>
      <c r="M1366" s="111"/>
      <c r="N1366" s="111"/>
      <c r="O1366" s="111"/>
      <c r="P1366" s="111"/>
      <c r="Q1366" s="111"/>
      <c r="R1366" s="111"/>
      <c r="S1366" s="712"/>
      <c r="T1366" s="169" t="e">
        <f>'[2]AUN Budget'!#REF!</f>
        <v>#REF!</v>
      </c>
      <c r="U1366" s="169" t="e">
        <f>'[2]AUN Budget'!#REF!</f>
        <v>#REF!</v>
      </c>
      <c r="V1366" s="121" t="s">
        <v>977</v>
      </c>
      <c r="W1366" s="121" t="s">
        <v>961</v>
      </c>
      <c r="X1366" s="170">
        <f t="shared" si="1176"/>
        <v>40346.806249999994</v>
      </c>
      <c r="Y1366" s="200">
        <f t="shared" si="1177"/>
        <v>0.8928571428571429</v>
      </c>
      <c r="Z1366" s="167">
        <f t="shared" si="1178"/>
        <v>36023.93415178571</v>
      </c>
      <c r="AA1366" s="164">
        <f t="shared" si="1179"/>
        <v>40346.806249999994</v>
      </c>
      <c r="AB1366" s="200">
        <f t="shared" si="1180"/>
        <v>0.74404761904761907</v>
      </c>
      <c r="AC1366" s="167">
        <f t="shared" si="1181"/>
        <v>30019.945126488092</v>
      </c>
      <c r="AD1366" s="164">
        <f t="shared" si="1182"/>
        <v>40346.806249999994</v>
      </c>
      <c r="AE1366" s="200">
        <f t="shared" si="1183"/>
        <v>0.44642857142857145</v>
      </c>
      <c r="AF1366" s="167">
        <f t="shared" si="1184"/>
        <v>18011.967075892855</v>
      </c>
      <c r="AG1366" s="67"/>
    </row>
    <row r="1367" spans="1:33">
      <c r="A1367" s="134"/>
      <c r="B1367" s="202">
        <v>5</v>
      </c>
      <c r="C1367" s="202"/>
      <c r="D1367" s="121" t="s">
        <v>1720</v>
      </c>
      <c r="E1367" s="209"/>
      <c r="F1367" s="164">
        <v>1</v>
      </c>
      <c r="G1367" s="164">
        <f>$D$23</f>
        <v>1025</v>
      </c>
      <c r="H1367" s="164">
        <f t="shared" ref="H1367:H1371" si="1189">F1367*G1367</f>
        <v>1025</v>
      </c>
      <c r="I1367" s="164">
        <f t="shared" ref="I1367:K1367" si="1190">$H1367*I$1361</f>
        <v>307500</v>
      </c>
      <c r="J1367" s="164">
        <f t="shared" si="1190"/>
        <v>256250</v>
      </c>
      <c r="K1367" s="164">
        <f t="shared" si="1190"/>
        <v>153750</v>
      </c>
      <c r="L1367" s="111"/>
      <c r="M1367" s="111"/>
      <c r="N1367" s="111"/>
      <c r="O1367" s="111"/>
      <c r="P1367" s="111"/>
      <c r="Q1367" s="111"/>
      <c r="R1367" s="111"/>
      <c r="S1367" s="712"/>
      <c r="T1367" s="169" t="e">
        <f>'[2]AUN Budget'!#REF!</f>
        <v>#REF!</v>
      </c>
      <c r="U1367" s="169" t="e">
        <f>'[2]AUN Budget'!#REF!</f>
        <v>#REF!</v>
      </c>
      <c r="V1367" s="318" t="s">
        <v>994</v>
      </c>
      <c r="W1367" s="121" t="s">
        <v>789</v>
      </c>
      <c r="X1367" s="170">
        <f>$G$231</f>
        <v>1025</v>
      </c>
      <c r="Y1367" s="200">
        <f t="shared" si="1177"/>
        <v>300</v>
      </c>
      <c r="Z1367" s="167">
        <f t="shared" si="1178"/>
        <v>307500</v>
      </c>
      <c r="AA1367" s="164">
        <f t="shared" si="1179"/>
        <v>1025</v>
      </c>
      <c r="AB1367" s="200">
        <f t="shared" si="1180"/>
        <v>250</v>
      </c>
      <c r="AC1367" s="167">
        <f t="shared" si="1181"/>
        <v>256250</v>
      </c>
      <c r="AD1367" s="164">
        <f t="shared" si="1182"/>
        <v>1025</v>
      </c>
      <c r="AE1367" s="200">
        <f t="shared" si="1183"/>
        <v>150</v>
      </c>
      <c r="AF1367" s="167">
        <f t="shared" si="1184"/>
        <v>153750</v>
      </c>
      <c r="AG1367" s="67"/>
    </row>
    <row r="1368" spans="1:33">
      <c r="A1368" s="134"/>
      <c r="B1368" s="202">
        <v>6</v>
      </c>
      <c r="C1368" s="202"/>
      <c r="D1368" s="121" t="s">
        <v>1721</v>
      </c>
      <c r="E1368" s="209"/>
      <c r="F1368" s="164">
        <v>1</v>
      </c>
      <c r="G1368" s="164">
        <f>$D$27</f>
        <v>300</v>
      </c>
      <c r="H1368" s="164">
        <f t="shared" si="1189"/>
        <v>300</v>
      </c>
      <c r="I1368" s="164">
        <f t="shared" ref="I1368:K1368" si="1191">$H1368*I$1361</f>
        <v>90000</v>
      </c>
      <c r="J1368" s="164">
        <f t="shared" si="1191"/>
        <v>75000</v>
      </c>
      <c r="K1368" s="164">
        <f t="shared" si="1191"/>
        <v>45000</v>
      </c>
      <c r="L1368" s="111"/>
      <c r="M1368" s="111"/>
      <c r="N1368" s="111"/>
      <c r="O1368" s="111"/>
      <c r="P1368" s="111"/>
      <c r="Q1368" s="111"/>
      <c r="R1368" s="111"/>
      <c r="S1368" s="712"/>
      <c r="T1368" s="169" t="e">
        <f>'[2]AUN Budget'!#REF!</f>
        <v>#REF!</v>
      </c>
      <c r="U1368" s="169" t="e">
        <f>'[2]AUN Budget'!#REF!</f>
        <v>#REF!</v>
      </c>
      <c r="V1368" s="121" t="s">
        <v>989</v>
      </c>
      <c r="W1368" s="121" t="s">
        <v>789</v>
      </c>
      <c r="X1368" s="170">
        <f>$G$234</f>
        <v>244</v>
      </c>
      <c r="Y1368" s="200">
        <f t="shared" si="1177"/>
        <v>368.85245901639342</v>
      </c>
      <c r="Z1368" s="167">
        <f t="shared" si="1178"/>
        <v>90000</v>
      </c>
      <c r="AA1368" s="164">
        <f t="shared" si="1179"/>
        <v>244</v>
      </c>
      <c r="AB1368" s="200">
        <f t="shared" si="1180"/>
        <v>307.37704918032784</v>
      </c>
      <c r="AC1368" s="167">
        <f t="shared" si="1181"/>
        <v>75000</v>
      </c>
      <c r="AD1368" s="164">
        <f t="shared" si="1182"/>
        <v>244</v>
      </c>
      <c r="AE1368" s="200">
        <f t="shared" si="1183"/>
        <v>184.42622950819671</v>
      </c>
      <c r="AF1368" s="167">
        <f t="shared" si="1184"/>
        <v>45000</v>
      </c>
      <c r="AG1368" s="67"/>
    </row>
    <row r="1369" spans="1:33">
      <c r="A1369" s="134"/>
      <c r="B1369" s="202">
        <v>7</v>
      </c>
      <c r="C1369" s="202"/>
      <c r="D1369" s="121" t="s">
        <v>1722</v>
      </c>
      <c r="E1369" s="209"/>
      <c r="F1369" s="164">
        <f>5*0.3</f>
        <v>1.5</v>
      </c>
      <c r="G1369" s="164">
        <f>'Assumptions HR_AUN'!$F$4</f>
        <v>175.0219029103159</v>
      </c>
      <c r="H1369" s="164">
        <f t="shared" si="1189"/>
        <v>262.53285436547384</v>
      </c>
      <c r="I1369" s="164">
        <f t="shared" ref="I1369:K1369" si="1192">$H1369*I$1361</f>
        <v>78759.856309642157</v>
      </c>
      <c r="J1369" s="164">
        <f t="shared" si="1192"/>
        <v>65633.213591368461</v>
      </c>
      <c r="K1369" s="164">
        <f t="shared" si="1192"/>
        <v>39379.928154821078</v>
      </c>
      <c r="L1369" s="111"/>
      <c r="M1369" s="111"/>
      <c r="N1369" s="111"/>
      <c r="O1369" s="111"/>
      <c r="P1369" s="111"/>
      <c r="Q1369" s="111"/>
      <c r="R1369" s="111"/>
      <c r="S1369" s="712"/>
      <c r="T1369" s="169" t="e">
        <f>'[2]AUN Budget'!#REF!</f>
        <v>#REF!</v>
      </c>
      <c r="U1369" s="169" t="e">
        <f>'[2]AUN Budget'!#REF!</f>
        <v>#REF!</v>
      </c>
      <c r="V1369" s="319" t="s">
        <v>994</v>
      </c>
      <c r="W1369" s="227" t="s">
        <v>789</v>
      </c>
      <c r="X1369" s="170">
        <f>$G$231</f>
        <v>1025</v>
      </c>
      <c r="Y1369" s="200">
        <f t="shared" si="1177"/>
        <v>76.838884204528938</v>
      </c>
      <c r="Z1369" s="167">
        <f t="shared" si="1178"/>
        <v>78759.856309642157</v>
      </c>
      <c r="AA1369" s="164">
        <f t="shared" si="1179"/>
        <v>1025</v>
      </c>
      <c r="AB1369" s="200">
        <f t="shared" si="1180"/>
        <v>64.032403503774106</v>
      </c>
      <c r="AC1369" s="167">
        <f t="shared" si="1181"/>
        <v>65633.213591368461</v>
      </c>
      <c r="AD1369" s="164">
        <f t="shared" si="1182"/>
        <v>1025</v>
      </c>
      <c r="AE1369" s="200">
        <f t="shared" si="1183"/>
        <v>38.419442102264469</v>
      </c>
      <c r="AF1369" s="167">
        <f t="shared" si="1184"/>
        <v>39379.928154821078</v>
      </c>
      <c r="AG1369" s="67"/>
    </row>
    <row r="1370" spans="1:33">
      <c r="A1370" s="134"/>
      <c r="B1370" s="202">
        <v>8</v>
      </c>
      <c r="C1370" s="202"/>
      <c r="D1370" s="121" t="s">
        <v>1723</v>
      </c>
      <c r="E1370" s="209"/>
      <c r="F1370" s="164">
        <v>1</v>
      </c>
      <c r="G1370" s="164">
        <f>D19</f>
        <v>244</v>
      </c>
      <c r="H1370" s="164">
        <f t="shared" si="1189"/>
        <v>244</v>
      </c>
      <c r="I1370" s="164">
        <f t="shared" ref="I1370:K1370" si="1193">$H1370*I$1361</f>
        <v>73200</v>
      </c>
      <c r="J1370" s="164">
        <f t="shared" si="1193"/>
        <v>61000</v>
      </c>
      <c r="K1370" s="164">
        <f t="shared" si="1193"/>
        <v>36600</v>
      </c>
      <c r="L1370" s="111"/>
      <c r="M1370" s="111"/>
      <c r="N1370" s="111"/>
      <c r="O1370" s="111"/>
      <c r="P1370" s="111"/>
      <c r="Q1370" s="111"/>
      <c r="R1370" s="111"/>
      <c r="S1370" s="712"/>
      <c r="T1370" s="169" t="e">
        <f>'[2]AUN Budget'!#REF!</f>
        <v>#REF!</v>
      </c>
      <c r="U1370" s="169" t="e">
        <f>'[2]AUN Budget'!#REF!</f>
        <v>#REF!</v>
      </c>
      <c r="V1370" s="121" t="s">
        <v>989</v>
      </c>
      <c r="W1370" s="121" t="s">
        <v>789</v>
      </c>
      <c r="X1370" s="170">
        <f>$G$234</f>
        <v>244</v>
      </c>
      <c r="Y1370" s="200">
        <f t="shared" si="1177"/>
        <v>300</v>
      </c>
      <c r="Z1370" s="167">
        <f t="shared" si="1178"/>
        <v>73200</v>
      </c>
      <c r="AA1370" s="164">
        <f t="shared" si="1179"/>
        <v>244</v>
      </c>
      <c r="AB1370" s="200">
        <f t="shared" si="1180"/>
        <v>250</v>
      </c>
      <c r="AC1370" s="167">
        <f t="shared" si="1181"/>
        <v>61000</v>
      </c>
      <c r="AD1370" s="164">
        <f t="shared" si="1182"/>
        <v>244</v>
      </c>
      <c r="AE1370" s="200">
        <f t="shared" si="1183"/>
        <v>150</v>
      </c>
      <c r="AF1370" s="167">
        <f t="shared" si="1184"/>
        <v>36600</v>
      </c>
      <c r="AG1370" s="67"/>
    </row>
    <row r="1371" spans="1:33">
      <c r="A1371" s="134"/>
      <c r="B1371" s="202">
        <v>9</v>
      </c>
      <c r="C1371" s="202"/>
      <c r="D1371" s="121" t="s">
        <v>1724</v>
      </c>
      <c r="E1371" s="209"/>
      <c r="F1371" s="164">
        <v>2</v>
      </c>
      <c r="G1371" s="164">
        <f>$D$27</f>
        <v>300</v>
      </c>
      <c r="H1371" s="164">
        <f t="shared" si="1189"/>
        <v>600</v>
      </c>
      <c r="I1371" s="164">
        <f t="shared" ref="I1371:K1371" si="1194">$H1371*I$1361</f>
        <v>180000</v>
      </c>
      <c r="J1371" s="164">
        <f t="shared" si="1194"/>
        <v>150000</v>
      </c>
      <c r="K1371" s="164">
        <f t="shared" si="1194"/>
        <v>90000</v>
      </c>
      <c r="L1371" s="111"/>
      <c r="M1371" s="111"/>
      <c r="N1371" s="111"/>
      <c r="O1371" s="111"/>
      <c r="P1371" s="111"/>
      <c r="Q1371" s="111"/>
      <c r="R1371" s="111"/>
      <c r="S1371" s="712"/>
      <c r="T1371" s="169" t="e">
        <f>'[2]AUN Budget'!#REF!</f>
        <v>#REF!</v>
      </c>
      <c r="U1371" s="169" t="e">
        <f>'[2]AUN Budget'!#REF!</f>
        <v>#REF!</v>
      </c>
      <c r="V1371" s="121" t="s">
        <v>977</v>
      </c>
      <c r="W1371" s="121" t="s">
        <v>961</v>
      </c>
      <c r="X1371" s="170">
        <f t="shared" ref="X1371:X1372" si="1195">G1371*$D$35*$D$36</f>
        <v>151200</v>
      </c>
      <c r="Y1371" s="200">
        <f t="shared" si="1177"/>
        <v>1.1904761904761905</v>
      </c>
      <c r="Z1371" s="167">
        <f t="shared" si="1178"/>
        <v>180000</v>
      </c>
      <c r="AA1371" s="164">
        <f t="shared" si="1179"/>
        <v>151200</v>
      </c>
      <c r="AB1371" s="200">
        <f t="shared" si="1180"/>
        <v>0.99206349206349209</v>
      </c>
      <c r="AC1371" s="167">
        <f t="shared" si="1181"/>
        <v>150000</v>
      </c>
      <c r="AD1371" s="164">
        <f t="shared" si="1182"/>
        <v>151200</v>
      </c>
      <c r="AE1371" s="200">
        <f t="shared" si="1183"/>
        <v>0.59523809523809523</v>
      </c>
      <c r="AF1371" s="167">
        <f t="shared" si="1184"/>
        <v>90000</v>
      </c>
      <c r="AG1371" s="67"/>
    </row>
    <row r="1372" spans="1:33">
      <c r="A1372" s="134"/>
      <c r="B1372" s="202">
        <v>10</v>
      </c>
      <c r="C1372" s="202"/>
      <c r="D1372" s="121" t="s">
        <v>1725</v>
      </c>
      <c r="E1372" s="209">
        <v>1</v>
      </c>
      <c r="F1372" s="164">
        <v>8</v>
      </c>
      <c r="G1372" s="164">
        <f>'Assumptions HR_AUN'!$F$8</f>
        <v>80.053187003968247</v>
      </c>
      <c r="H1372" s="164">
        <f>E1372*F1372*G1372</f>
        <v>640.42549603174598</v>
      </c>
      <c r="I1372" s="164">
        <f t="shared" ref="I1372:K1372" si="1196">$H1372*I$1361</f>
        <v>192127.64880952379</v>
      </c>
      <c r="J1372" s="164">
        <f t="shared" si="1196"/>
        <v>160106.37400793651</v>
      </c>
      <c r="K1372" s="164">
        <f t="shared" si="1196"/>
        <v>96063.824404761894</v>
      </c>
      <c r="L1372" s="111"/>
      <c r="M1372" s="111"/>
      <c r="N1372" s="111"/>
      <c r="O1372" s="111"/>
      <c r="P1372" s="111"/>
      <c r="Q1372" s="111"/>
      <c r="R1372" s="111"/>
      <c r="S1372" s="712"/>
      <c r="T1372" s="169" t="e">
        <f>'[2]AUN Budget'!#REF!</f>
        <v>#REF!</v>
      </c>
      <c r="U1372" s="169" t="e">
        <f>'[2]AUN Budget'!#REF!</f>
        <v>#REF!</v>
      </c>
      <c r="V1372" s="121" t="s">
        <v>977</v>
      </c>
      <c r="W1372" s="121" t="s">
        <v>961</v>
      </c>
      <c r="X1372" s="170">
        <f t="shared" si="1195"/>
        <v>40346.806249999994</v>
      </c>
      <c r="Y1372" s="200">
        <f t="shared" si="1177"/>
        <v>4.7619047619047619</v>
      </c>
      <c r="Z1372" s="167">
        <f t="shared" si="1178"/>
        <v>192127.64880952379</v>
      </c>
      <c r="AA1372" s="164">
        <f t="shared" si="1179"/>
        <v>40346.806249999994</v>
      </c>
      <c r="AB1372" s="200">
        <f t="shared" si="1180"/>
        <v>3.9682539682539688</v>
      </c>
      <c r="AC1372" s="167">
        <f t="shared" si="1181"/>
        <v>160106.37400793651</v>
      </c>
      <c r="AD1372" s="164">
        <f t="shared" si="1182"/>
        <v>40346.806249999994</v>
      </c>
      <c r="AE1372" s="200">
        <f t="shared" si="1183"/>
        <v>2.3809523809523809</v>
      </c>
      <c r="AF1372" s="167">
        <f t="shared" si="1184"/>
        <v>96063.824404761894</v>
      </c>
      <c r="AG1372" s="67"/>
    </row>
    <row r="1373" spans="1:33">
      <c r="A1373" s="134"/>
      <c r="B1373" s="202">
        <v>11</v>
      </c>
      <c r="C1373" s="202"/>
      <c r="D1373" s="121" t="s">
        <v>1726</v>
      </c>
      <c r="E1373" s="209"/>
      <c r="F1373" s="164">
        <f>1*0.3</f>
        <v>0.3</v>
      </c>
      <c r="G1373" s="164">
        <v>75</v>
      </c>
      <c r="H1373" s="164">
        <f>F1373*G1373</f>
        <v>22.5</v>
      </c>
      <c r="I1373" s="164">
        <f t="shared" ref="I1373:K1373" si="1197">$H1373*I$1361</f>
        <v>6750</v>
      </c>
      <c r="J1373" s="164">
        <f t="shared" si="1197"/>
        <v>5625</v>
      </c>
      <c r="K1373" s="164">
        <f t="shared" si="1197"/>
        <v>3375</v>
      </c>
      <c r="L1373" s="111"/>
      <c r="M1373" s="111"/>
      <c r="N1373" s="111"/>
      <c r="O1373" s="111"/>
      <c r="P1373" s="111"/>
      <c r="Q1373" s="111"/>
      <c r="R1373" s="111"/>
      <c r="S1373" s="712"/>
      <c r="T1373" s="169" t="e">
        <f>'[2]AUN Budget'!#REF!</f>
        <v>#REF!</v>
      </c>
      <c r="U1373" s="169" t="e">
        <f>'[2]AUN Budget'!#REF!</f>
        <v>#REF!</v>
      </c>
      <c r="V1373" s="121" t="s">
        <v>848</v>
      </c>
      <c r="W1373" s="121" t="s">
        <v>961</v>
      </c>
      <c r="X1373" s="170">
        <f t="shared" ref="X1373:X1374" si="1198">G1373*$D$35*$D$36/20</f>
        <v>1890</v>
      </c>
      <c r="Y1373" s="200">
        <f t="shared" si="1177"/>
        <v>3.5714285714285716</v>
      </c>
      <c r="Z1373" s="167">
        <f t="shared" si="1178"/>
        <v>6750</v>
      </c>
      <c r="AA1373" s="164">
        <f t="shared" si="1179"/>
        <v>1890</v>
      </c>
      <c r="AB1373" s="200">
        <f t="shared" si="1180"/>
        <v>2.9761904761904763</v>
      </c>
      <c r="AC1373" s="167">
        <f t="shared" si="1181"/>
        <v>5625</v>
      </c>
      <c r="AD1373" s="164">
        <f t="shared" si="1182"/>
        <v>1890</v>
      </c>
      <c r="AE1373" s="200">
        <f t="shared" si="1183"/>
        <v>1.7857142857142858</v>
      </c>
      <c r="AF1373" s="167">
        <f t="shared" si="1184"/>
        <v>3375</v>
      </c>
      <c r="AG1373" s="67"/>
    </row>
    <row r="1374" spans="1:33">
      <c r="A1374" s="134"/>
      <c r="B1374" s="202">
        <v>12</v>
      </c>
      <c r="C1374" s="202"/>
      <c r="D1374" s="121" t="s">
        <v>1727</v>
      </c>
      <c r="E1374" s="209">
        <v>1</v>
      </c>
      <c r="F1374" s="164">
        <v>1</v>
      </c>
      <c r="G1374" s="164">
        <f>'Assumptions HR_AUN'!$F$4</f>
        <v>175.0219029103159</v>
      </c>
      <c r="H1374" s="164">
        <f t="shared" ref="H1374:H1377" si="1199">E1374*F1374*G1374</f>
        <v>175.0219029103159</v>
      </c>
      <c r="I1374" s="164">
        <f t="shared" ref="I1374:K1374" si="1200">$H1374*I$1361</f>
        <v>52506.570873094774</v>
      </c>
      <c r="J1374" s="164">
        <f t="shared" si="1200"/>
        <v>43755.475727578974</v>
      </c>
      <c r="K1374" s="164">
        <f t="shared" si="1200"/>
        <v>26253.285436547387</v>
      </c>
      <c r="L1374" s="111"/>
      <c r="M1374" s="111"/>
      <c r="N1374" s="111"/>
      <c r="O1374" s="111"/>
      <c r="P1374" s="111"/>
      <c r="Q1374" s="111"/>
      <c r="R1374" s="111"/>
      <c r="S1374" s="712"/>
      <c r="T1374" s="169" t="e">
        <f>'[2]AUN Budget'!#REF!</f>
        <v>#REF!</v>
      </c>
      <c r="U1374" s="169" t="e">
        <f>'[2]AUN Budget'!#REF!</f>
        <v>#REF!</v>
      </c>
      <c r="V1374" s="320" t="s">
        <v>848</v>
      </c>
      <c r="W1374" s="121" t="s">
        <v>961</v>
      </c>
      <c r="X1374" s="170">
        <f t="shared" si="1198"/>
        <v>4410.5519533399611</v>
      </c>
      <c r="Y1374" s="200">
        <f t="shared" si="1177"/>
        <v>11.904761904761905</v>
      </c>
      <c r="Z1374" s="167">
        <f t="shared" si="1178"/>
        <v>52506.570873094774</v>
      </c>
      <c r="AA1374" s="164">
        <f t="shared" si="1179"/>
        <v>4410.5519533399611</v>
      </c>
      <c r="AB1374" s="200">
        <f t="shared" si="1180"/>
        <v>9.9206349206349191</v>
      </c>
      <c r="AC1374" s="167">
        <f t="shared" si="1181"/>
        <v>43755.475727578974</v>
      </c>
      <c r="AD1374" s="164">
        <f t="shared" si="1182"/>
        <v>4410.5519533399611</v>
      </c>
      <c r="AE1374" s="200">
        <f t="shared" si="1183"/>
        <v>5.9523809523809526</v>
      </c>
      <c r="AF1374" s="167">
        <f t="shared" si="1184"/>
        <v>26253.285436547387</v>
      </c>
      <c r="AG1374" s="67"/>
    </row>
    <row r="1375" spans="1:33">
      <c r="A1375" s="134"/>
      <c r="B1375" s="202">
        <v>13</v>
      </c>
      <c r="C1375" s="202"/>
      <c r="D1375" s="121" t="s">
        <v>1728</v>
      </c>
      <c r="E1375" s="209">
        <v>1</v>
      </c>
      <c r="F1375" s="164">
        <v>1</v>
      </c>
      <c r="G1375" s="164">
        <f>'Assumptions HR_AUN'!$F$4</f>
        <v>175.0219029103159</v>
      </c>
      <c r="H1375" s="164">
        <f t="shared" si="1199"/>
        <v>175.0219029103159</v>
      </c>
      <c r="I1375" s="164">
        <f t="shared" ref="I1375:K1375" si="1201">$H1375*I$1361</f>
        <v>52506.570873094774</v>
      </c>
      <c r="J1375" s="164">
        <f t="shared" si="1201"/>
        <v>43755.475727578974</v>
      </c>
      <c r="K1375" s="164">
        <f t="shared" si="1201"/>
        <v>26253.285436547387</v>
      </c>
      <c r="L1375" s="111"/>
      <c r="M1375" s="111"/>
      <c r="N1375" s="111"/>
      <c r="O1375" s="111"/>
      <c r="P1375" s="111"/>
      <c r="Q1375" s="111"/>
      <c r="R1375" s="111"/>
      <c r="S1375" s="712"/>
      <c r="T1375" s="169"/>
      <c r="U1375" s="169"/>
      <c r="V1375" s="320"/>
      <c r="W1375" s="121"/>
      <c r="X1375" s="170"/>
      <c r="Y1375" s="200"/>
      <c r="Z1375" s="167"/>
      <c r="AA1375" s="164"/>
      <c r="AB1375" s="200"/>
      <c r="AC1375" s="167"/>
      <c r="AD1375" s="164"/>
      <c r="AE1375" s="200"/>
      <c r="AF1375" s="167"/>
      <c r="AG1375" s="67"/>
    </row>
    <row r="1376" spans="1:33">
      <c r="A1376" s="134"/>
      <c r="B1376" s="202">
        <v>14</v>
      </c>
      <c r="C1376" s="202"/>
      <c r="D1376" s="121" t="s">
        <v>1729</v>
      </c>
      <c r="E1376" s="209">
        <v>1</v>
      </c>
      <c r="F1376" s="164">
        <v>60</v>
      </c>
      <c r="G1376" s="164">
        <f>$D$33</f>
        <v>24</v>
      </c>
      <c r="H1376" s="164">
        <f t="shared" si="1199"/>
        <v>1440</v>
      </c>
      <c r="I1376" s="164">
        <f t="shared" ref="I1376:K1376" si="1202">$H1376*I$1361</f>
        <v>432000</v>
      </c>
      <c r="J1376" s="164">
        <f t="shared" si="1202"/>
        <v>360000</v>
      </c>
      <c r="K1376" s="164">
        <f t="shared" si="1202"/>
        <v>216000</v>
      </c>
      <c r="L1376" s="111"/>
      <c r="M1376" s="111"/>
      <c r="N1376" s="111"/>
      <c r="O1376" s="111"/>
      <c r="P1376" s="111"/>
      <c r="Q1376" s="111"/>
      <c r="R1376" s="111"/>
      <c r="S1376" s="712"/>
      <c r="T1376" s="169"/>
      <c r="U1376" s="169"/>
      <c r="V1376" s="320"/>
      <c r="W1376" s="121"/>
      <c r="X1376" s="170"/>
      <c r="Y1376" s="200"/>
      <c r="Z1376" s="167"/>
      <c r="AA1376" s="164"/>
      <c r="AB1376" s="200"/>
      <c r="AC1376" s="167"/>
      <c r="AD1376" s="164"/>
      <c r="AE1376" s="200"/>
      <c r="AF1376" s="167"/>
      <c r="AG1376" s="67"/>
    </row>
    <row r="1377" spans="1:33">
      <c r="A1377" s="134"/>
      <c r="B1377" s="202">
        <v>15</v>
      </c>
      <c r="C1377" s="202"/>
      <c r="D1377" s="121" t="s">
        <v>1730</v>
      </c>
      <c r="E1377" s="209">
        <v>1</v>
      </c>
      <c r="F1377" s="164">
        <v>1</v>
      </c>
      <c r="G1377" s="164">
        <v>300000</v>
      </c>
      <c r="H1377" s="164">
        <f t="shared" si="1199"/>
        <v>300000</v>
      </c>
      <c r="I1377" s="164">
        <f>H1377</f>
        <v>300000</v>
      </c>
      <c r="J1377" s="164">
        <v>7000</v>
      </c>
      <c r="K1377" s="164">
        <v>7000</v>
      </c>
      <c r="L1377" s="111"/>
      <c r="M1377" s="111"/>
      <c r="N1377" s="111"/>
      <c r="O1377" s="111"/>
      <c r="P1377" s="111"/>
      <c r="Q1377" s="111"/>
      <c r="R1377" s="111"/>
      <c r="S1377" s="712"/>
      <c r="T1377" s="169"/>
      <c r="U1377" s="169"/>
      <c r="V1377" s="320"/>
      <c r="W1377" s="121"/>
      <c r="X1377" s="170"/>
      <c r="Y1377" s="200"/>
      <c r="Z1377" s="167"/>
      <c r="AA1377" s="164"/>
      <c r="AB1377" s="200"/>
      <c r="AC1377" s="167"/>
      <c r="AD1377" s="164"/>
      <c r="AE1377" s="200"/>
      <c r="AF1377" s="167"/>
      <c r="AG1377" s="67"/>
    </row>
    <row r="1378" spans="1:33">
      <c r="A1378" s="134"/>
      <c r="B1378" s="202">
        <v>16</v>
      </c>
      <c r="C1378" s="202" t="s">
        <v>1045</v>
      </c>
      <c r="D1378" s="202">
        <v>0.1</v>
      </c>
      <c r="E1378" s="121"/>
      <c r="F1378" s="164"/>
      <c r="G1378" s="121"/>
      <c r="H1378" s="164">
        <f>SUM(H1363:H1377)*0.1</f>
        <v>30558.096488315241</v>
      </c>
      <c r="I1378" s="164">
        <f t="shared" ref="I1378:K1378" si="1203">$H1378*I$1361</f>
        <v>9167428.9464945719</v>
      </c>
      <c r="J1378" s="164">
        <f t="shared" si="1203"/>
        <v>7639524.1220788099</v>
      </c>
      <c r="K1378" s="164">
        <f t="shared" si="1203"/>
        <v>4583714.4732472859</v>
      </c>
      <c r="L1378" s="111"/>
      <c r="M1378" s="111"/>
      <c r="N1378" s="111"/>
      <c r="O1378" s="111"/>
      <c r="P1378" s="111"/>
      <c r="Q1378" s="111"/>
      <c r="R1378" s="111"/>
      <c r="S1378" s="712"/>
      <c r="T1378" s="169" t="e">
        <f>'[2]AUN Budget'!#REF!</f>
        <v>#REF!</v>
      </c>
      <c r="U1378" s="169" t="e">
        <f>'[2]AUN Budget'!#REF!</f>
        <v>#REF!</v>
      </c>
      <c r="V1378" s="121" t="s">
        <v>875</v>
      </c>
      <c r="W1378" s="121" t="s">
        <v>961</v>
      </c>
      <c r="X1378" s="170">
        <f>'Assumptions HR_AUN'!$D$4*3</f>
        <v>88211.039066799218</v>
      </c>
      <c r="Y1378" s="200">
        <f>I1378/X1378</f>
        <v>103.9260963647916</v>
      </c>
      <c r="Z1378" s="167">
        <f t="shared" ref="Z1378:Z1379" si="1204">X1378*Y1378</f>
        <v>9167428.9464945719</v>
      </c>
      <c r="AA1378" s="170">
        <f>'Assumptions HR_AUN'!$D$4*3</f>
        <v>88211.039066799218</v>
      </c>
      <c r="AB1378" s="200">
        <f>J1378/AA1378</f>
        <v>86.605080303992992</v>
      </c>
      <c r="AC1378" s="167">
        <f t="shared" ref="AC1378:AC1379" si="1205">AA1378*AB1378</f>
        <v>7639524.122078809</v>
      </c>
      <c r="AD1378" s="164">
        <f>AA1378</f>
        <v>88211.039066799218</v>
      </c>
      <c r="AE1378" s="200">
        <f>K1378/AD1378</f>
        <v>51.963048182395802</v>
      </c>
      <c r="AF1378" s="167">
        <f t="shared" ref="AF1378:AF1379" si="1206">AD1378*AE1378</f>
        <v>4583714.4732472859</v>
      </c>
      <c r="AG1378" s="67"/>
    </row>
    <row r="1379" spans="1:33">
      <c r="A1379" s="134"/>
      <c r="B1379" s="202">
        <v>17</v>
      </c>
      <c r="C1379" s="202" t="s">
        <v>1046</v>
      </c>
      <c r="D1379" s="202">
        <v>0.15</v>
      </c>
      <c r="E1379" s="121"/>
      <c r="F1379" s="121"/>
      <c r="G1379" s="121"/>
      <c r="H1379" s="164">
        <f>SUM(H1363:H1377)*0.15</f>
        <v>45837.144732472858</v>
      </c>
      <c r="I1379" s="164">
        <f t="shared" ref="I1379:K1379" si="1207">$H1379*I$1361</f>
        <v>13751143.419741858</v>
      </c>
      <c r="J1379" s="164">
        <f t="shared" si="1207"/>
        <v>11459286.183118215</v>
      </c>
      <c r="K1379" s="164">
        <f t="shared" si="1207"/>
        <v>6875571.7098709289</v>
      </c>
      <c r="L1379" s="111"/>
      <c r="M1379" s="111"/>
      <c r="N1379" s="111"/>
      <c r="O1379" s="111"/>
      <c r="P1379" s="111"/>
      <c r="Q1379" s="111"/>
      <c r="R1379" s="111"/>
      <c r="S1379" s="712"/>
      <c r="T1379" s="169" t="e">
        <f>'[2]AUN Budget'!#REF!</f>
        <v>#REF!</v>
      </c>
      <c r="U1379" s="169" t="e">
        <f>'[2]AUN Budget'!#REF!</f>
        <v>#REF!</v>
      </c>
      <c r="V1379" s="121" t="s">
        <v>881</v>
      </c>
      <c r="W1379" s="121" t="s">
        <v>964</v>
      </c>
      <c r="X1379" s="170">
        <f>I1379/4</f>
        <v>3437785.8549354644</v>
      </c>
      <c r="Y1379" s="200">
        <v>4</v>
      </c>
      <c r="Z1379" s="167">
        <f t="shared" si="1204"/>
        <v>13751143.419741858</v>
      </c>
      <c r="AA1379" s="164">
        <f>J1379/4</f>
        <v>2864821.5457795537</v>
      </c>
      <c r="AB1379" s="200">
        <v>4</v>
      </c>
      <c r="AC1379" s="167">
        <f t="shared" si="1205"/>
        <v>11459286.183118215</v>
      </c>
      <c r="AD1379" s="164">
        <f>K1379/4</f>
        <v>1718892.9274677322</v>
      </c>
      <c r="AE1379" s="200">
        <v>4</v>
      </c>
      <c r="AF1379" s="167">
        <f t="shared" si="1206"/>
        <v>6875571.7098709289</v>
      </c>
      <c r="AG1379" s="67"/>
    </row>
    <row r="1380" spans="1:33">
      <c r="A1380" s="134"/>
      <c r="B1380" s="321"/>
      <c r="C1380" s="321" t="s">
        <v>1047</v>
      </c>
      <c r="D1380" s="321"/>
      <c r="E1380" s="321"/>
      <c r="F1380" s="321"/>
      <c r="G1380" s="321"/>
      <c r="H1380" s="322">
        <f t="shared" ref="H1380:K1380" si="1208">SUM(H1363:H1379)</f>
        <v>381976.20610394049</v>
      </c>
      <c r="I1380" s="322">
        <f t="shared" si="1208"/>
        <v>24892861.831182145</v>
      </c>
      <c r="J1380" s="322">
        <f t="shared" si="1208"/>
        <v>20501051.525985118</v>
      </c>
      <c r="K1380" s="322">
        <f t="shared" si="1208"/>
        <v>12303430.915591072</v>
      </c>
      <c r="L1380" s="111"/>
      <c r="M1380" s="111"/>
      <c r="N1380" s="111"/>
      <c r="O1380" s="111"/>
      <c r="P1380" s="111"/>
      <c r="Q1380" s="111"/>
      <c r="R1380" s="111"/>
      <c r="S1380" s="712"/>
      <c r="T1380" s="111"/>
      <c r="U1380" s="111"/>
      <c r="V1380" s="111"/>
      <c r="W1380" s="111"/>
      <c r="X1380" s="132"/>
      <c r="Y1380" s="133"/>
      <c r="Z1380" s="132"/>
      <c r="AA1380" s="132"/>
      <c r="AB1380" s="133"/>
      <c r="AC1380" s="132"/>
      <c r="AD1380" s="132"/>
      <c r="AE1380" s="133"/>
      <c r="AF1380" s="132"/>
      <c r="AG1380" s="67"/>
    </row>
    <row r="1381" spans="1:33">
      <c r="A1381" s="9"/>
      <c r="B1381" s="215"/>
      <c r="C1381" s="215"/>
      <c r="D1381" s="215"/>
      <c r="E1381" s="215"/>
      <c r="F1381" s="215"/>
      <c r="G1381" s="215"/>
      <c r="H1381" s="215">
        <f>(I1380+J1380+K1380)/(I1361+J1361+K1361)</f>
        <v>82424.7775325119</v>
      </c>
      <c r="I1381" s="215"/>
      <c r="J1381" s="215"/>
      <c r="K1381" s="215"/>
      <c r="L1381" s="111"/>
      <c r="M1381" s="111"/>
      <c r="N1381" s="111"/>
      <c r="O1381" s="111"/>
      <c r="P1381" s="111"/>
      <c r="Q1381" s="111"/>
      <c r="R1381" s="111"/>
      <c r="S1381" s="712"/>
      <c r="T1381" s="111"/>
      <c r="U1381" s="111"/>
      <c r="V1381" s="111"/>
      <c r="W1381" s="111"/>
      <c r="X1381" s="132"/>
      <c r="Y1381" s="133"/>
      <c r="Z1381" s="132"/>
      <c r="AA1381" s="132"/>
      <c r="AB1381" s="133"/>
      <c r="AC1381" s="132"/>
      <c r="AD1381" s="132"/>
      <c r="AE1381" s="133"/>
      <c r="AF1381" s="132"/>
      <c r="AG1381" s="67"/>
    </row>
    <row r="1382" spans="1:33">
      <c r="A1382" s="9"/>
      <c r="B1382" s="215"/>
      <c r="C1382" s="215"/>
      <c r="D1382" s="215"/>
      <c r="E1382" s="215"/>
      <c r="F1382" s="215"/>
      <c r="G1382" s="215"/>
      <c r="H1382" s="215"/>
      <c r="I1382" s="215"/>
      <c r="J1382" s="215"/>
      <c r="K1382" s="215"/>
      <c r="L1382" s="111"/>
      <c r="M1382" s="111"/>
      <c r="N1382" s="111"/>
      <c r="O1382" s="111"/>
      <c r="P1382" s="111"/>
      <c r="Q1382" s="111"/>
      <c r="R1382" s="111"/>
      <c r="S1382" s="712"/>
      <c r="T1382" s="111"/>
      <c r="U1382" s="111"/>
      <c r="V1382" s="111"/>
      <c r="W1382" s="111"/>
      <c r="X1382" s="132"/>
      <c r="Y1382" s="133"/>
      <c r="Z1382" s="132"/>
      <c r="AA1382" s="132"/>
      <c r="AB1382" s="133"/>
      <c r="AC1382" s="132"/>
      <c r="AD1382" s="132"/>
      <c r="AE1382" s="133"/>
      <c r="AF1382" s="132"/>
      <c r="AG1382" s="67"/>
    </row>
    <row r="1383" spans="1:33">
      <c r="A1383" s="9"/>
      <c r="B1383" s="215"/>
      <c r="C1383" s="215"/>
      <c r="D1383" s="215"/>
      <c r="E1383" s="215"/>
      <c r="F1383" s="215"/>
      <c r="G1383" s="215"/>
      <c r="H1383" s="215"/>
      <c r="I1383" s="215"/>
      <c r="J1383" s="215"/>
      <c r="K1383" s="215"/>
      <c r="L1383" s="111"/>
      <c r="M1383" s="111"/>
      <c r="N1383" s="111"/>
      <c r="O1383" s="111"/>
      <c r="P1383" s="111"/>
      <c r="Q1383" s="111"/>
      <c r="R1383" s="111"/>
      <c r="S1383" s="712"/>
      <c r="T1383" s="111"/>
      <c r="U1383" s="111"/>
      <c r="V1383" s="111"/>
      <c r="W1383" s="111"/>
      <c r="X1383" s="132"/>
      <c r="Y1383" s="133"/>
      <c r="Z1383" s="132"/>
      <c r="AA1383" s="132"/>
      <c r="AB1383" s="133"/>
      <c r="AC1383" s="132"/>
      <c r="AD1383" s="132"/>
      <c r="AE1383" s="133"/>
      <c r="AF1383" s="132"/>
      <c r="AG1383" s="67"/>
    </row>
    <row r="1384" spans="1:33">
      <c r="A1384" s="741">
        <v>79</v>
      </c>
      <c r="B1384" s="703" t="e" vm="1">
        <f>'[2]AUN Budget'!D108</f>
        <v>#VALUE!</v>
      </c>
      <c r="C1384" s="215"/>
      <c r="D1384" s="215"/>
      <c r="E1384" s="215"/>
      <c r="F1384" s="215"/>
      <c r="G1384" s="215"/>
      <c r="H1384" s="215"/>
      <c r="I1384" s="215"/>
      <c r="J1384" s="215"/>
      <c r="K1384" s="215"/>
      <c r="L1384" s="111"/>
      <c r="M1384" s="111"/>
      <c r="N1384" s="111"/>
      <c r="O1384" s="111"/>
      <c r="P1384" s="111"/>
      <c r="Q1384" s="111"/>
      <c r="R1384" s="111"/>
      <c r="S1384" s="712"/>
      <c r="T1384" s="111"/>
      <c r="U1384" s="111"/>
      <c r="V1384" s="111"/>
      <c r="W1384" s="111"/>
      <c r="X1384" s="132"/>
      <c r="Y1384" s="133"/>
      <c r="Z1384" s="132"/>
      <c r="AA1384" s="132"/>
      <c r="AB1384" s="133"/>
      <c r="AC1384" s="132"/>
      <c r="AD1384" s="132"/>
      <c r="AE1384" s="133"/>
      <c r="AF1384" s="132"/>
      <c r="AG1384" s="67"/>
    </row>
    <row r="1385" spans="1:33">
      <c r="A1385" s="134"/>
      <c r="B1385" s="202">
        <v>1</v>
      </c>
      <c r="C1385" s="323" t="s">
        <v>815</v>
      </c>
      <c r="D1385" s="324" t="s">
        <v>1000</v>
      </c>
      <c r="E1385" s="325"/>
      <c r="F1385" s="325"/>
      <c r="G1385" s="325"/>
      <c r="H1385" s="325"/>
      <c r="I1385" s="326">
        <v>150</v>
      </c>
      <c r="J1385" s="327">
        <v>250</v>
      </c>
      <c r="K1385" s="327">
        <v>100</v>
      </c>
      <c r="L1385" s="67"/>
      <c r="M1385" s="67"/>
      <c r="N1385" s="67"/>
      <c r="O1385" s="67"/>
      <c r="P1385" s="67"/>
      <c r="Q1385" s="67"/>
      <c r="R1385" s="67"/>
      <c r="S1385" s="67"/>
      <c r="T1385" s="67"/>
      <c r="U1385" s="67"/>
      <c r="V1385" s="67"/>
      <c r="W1385" s="67"/>
      <c r="X1385" s="67"/>
      <c r="Y1385" s="67"/>
      <c r="Z1385" s="67"/>
      <c r="AA1385" s="67"/>
      <c r="AB1385" s="67"/>
      <c r="AC1385" s="67"/>
      <c r="AD1385" s="67"/>
      <c r="AE1385" s="67"/>
      <c r="AF1385" s="67"/>
      <c r="AG1385" s="67"/>
    </row>
    <row r="1386" spans="1:33">
      <c r="A1386" s="134"/>
      <c r="B1386" s="202">
        <v>2</v>
      </c>
      <c r="C1386" s="323" t="s">
        <v>816</v>
      </c>
      <c r="D1386" s="324" t="s">
        <v>1000</v>
      </c>
      <c r="E1386" s="325"/>
      <c r="F1386" s="325"/>
      <c r="G1386" s="325"/>
      <c r="H1386" s="325"/>
      <c r="I1386" s="326">
        <v>100</v>
      </c>
      <c r="J1386" s="327">
        <v>100</v>
      </c>
      <c r="K1386" s="327">
        <v>100</v>
      </c>
      <c r="L1386" s="67"/>
      <c r="M1386" s="67"/>
      <c r="N1386" s="67"/>
      <c r="O1386" s="67"/>
      <c r="P1386" s="67"/>
      <c r="Q1386" s="67"/>
      <c r="R1386" s="67"/>
      <c r="S1386" s="67"/>
      <c r="T1386" s="67"/>
      <c r="U1386" s="67"/>
      <c r="V1386" s="67"/>
      <c r="W1386" s="67"/>
      <c r="X1386" s="67"/>
      <c r="Y1386" s="67"/>
      <c r="Z1386" s="67"/>
      <c r="AA1386" s="67"/>
      <c r="AB1386" s="67"/>
      <c r="AC1386" s="67"/>
      <c r="AD1386" s="67"/>
      <c r="AE1386" s="67"/>
      <c r="AF1386" s="67"/>
      <c r="AG1386" s="67"/>
    </row>
    <row r="1387" spans="1:33">
      <c r="A1387" s="134"/>
      <c r="B1387" s="321"/>
      <c r="C1387" s="321" t="s">
        <v>1047</v>
      </c>
      <c r="D1387" s="321"/>
      <c r="E1387" s="321"/>
      <c r="F1387" s="321"/>
      <c r="G1387" s="321"/>
      <c r="H1387" s="322"/>
      <c r="I1387" s="322">
        <f t="shared" ref="I1387:K1387" si="1209">SUM(I1385:I1386)</f>
        <v>250</v>
      </c>
      <c r="J1387" s="322">
        <f t="shared" si="1209"/>
        <v>350</v>
      </c>
      <c r="K1387" s="322">
        <f t="shared" si="1209"/>
        <v>200</v>
      </c>
      <c r="L1387" s="111"/>
      <c r="M1387" s="111"/>
      <c r="N1387" s="111"/>
      <c r="O1387" s="111"/>
      <c r="P1387" s="111"/>
      <c r="Q1387" s="111"/>
      <c r="R1387" s="111"/>
      <c r="S1387" s="712"/>
      <c r="T1387" s="111"/>
      <c r="U1387" s="111"/>
      <c r="V1387" s="111"/>
      <c r="W1387" s="111"/>
      <c r="X1387" s="132"/>
      <c r="Y1387" s="133"/>
      <c r="Z1387" s="132"/>
      <c r="AA1387" s="132"/>
      <c r="AB1387" s="133"/>
      <c r="AC1387" s="132"/>
      <c r="AD1387" s="132"/>
      <c r="AE1387" s="133"/>
      <c r="AF1387" s="132"/>
      <c r="AG1387" s="67"/>
    </row>
    <row r="1388" spans="1:33">
      <c r="A1388" s="9"/>
      <c r="B1388" s="215"/>
      <c r="C1388" s="215"/>
      <c r="D1388" s="215"/>
      <c r="E1388" s="215"/>
      <c r="F1388" s="215"/>
      <c r="G1388" s="215"/>
      <c r="H1388" s="215"/>
      <c r="I1388" s="215"/>
      <c r="J1388" s="215"/>
      <c r="K1388" s="215"/>
      <c r="L1388" s="111"/>
      <c r="M1388" s="111"/>
      <c r="N1388" s="111"/>
      <c r="O1388" s="111"/>
      <c r="P1388" s="111"/>
      <c r="Q1388" s="111"/>
      <c r="R1388" s="111"/>
      <c r="S1388" s="712"/>
      <c r="T1388" s="111"/>
      <c r="U1388" s="111"/>
      <c r="V1388" s="111"/>
      <c r="W1388" s="111"/>
      <c r="X1388" s="132"/>
      <c r="Y1388" s="133"/>
      <c r="Z1388" s="132"/>
      <c r="AA1388" s="132"/>
      <c r="AB1388" s="133"/>
      <c r="AC1388" s="132"/>
      <c r="AD1388" s="132"/>
      <c r="AE1388" s="133"/>
      <c r="AF1388" s="132"/>
      <c r="AG1388" s="67"/>
    </row>
    <row r="1389" spans="1:33">
      <c r="A1389" s="9"/>
      <c r="B1389" s="215"/>
      <c r="C1389" s="215"/>
      <c r="D1389" s="215"/>
      <c r="E1389" s="215"/>
      <c r="F1389" s="215"/>
      <c r="G1389" s="215"/>
      <c r="H1389" s="215"/>
      <c r="I1389" s="215"/>
      <c r="J1389" s="215"/>
      <c r="K1389" s="215"/>
      <c r="L1389" s="111"/>
      <c r="M1389" s="111"/>
      <c r="N1389" s="111"/>
      <c r="O1389" s="111"/>
      <c r="P1389" s="111"/>
      <c r="Q1389" s="111"/>
      <c r="R1389" s="111"/>
      <c r="S1389" s="712"/>
      <c r="T1389" s="111"/>
      <c r="U1389" s="111"/>
      <c r="V1389" s="111"/>
      <c r="W1389" s="111"/>
      <c r="X1389" s="132"/>
      <c r="Y1389" s="133"/>
      <c r="Z1389" s="132"/>
      <c r="AA1389" s="132"/>
      <c r="AB1389" s="133"/>
      <c r="AC1389" s="132"/>
      <c r="AD1389" s="132"/>
      <c r="AE1389" s="133"/>
      <c r="AF1389" s="132"/>
      <c r="AG1389" s="67"/>
    </row>
    <row r="1390" spans="1:33">
      <c r="A1390" s="9"/>
      <c r="B1390" s="215"/>
      <c r="C1390" s="215"/>
      <c r="D1390" s="215"/>
      <c r="E1390" s="215"/>
      <c r="F1390" s="215"/>
      <c r="G1390" s="215"/>
      <c r="H1390" s="215"/>
      <c r="I1390" s="215"/>
      <c r="J1390" s="215"/>
      <c r="K1390" s="215"/>
      <c r="L1390" s="111"/>
      <c r="M1390" s="111"/>
      <c r="N1390" s="111"/>
      <c r="O1390" s="111"/>
      <c r="P1390" s="111"/>
      <c r="Q1390" s="111"/>
      <c r="R1390" s="111"/>
      <c r="S1390" s="712"/>
      <c r="T1390" s="111"/>
      <c r="U1390" s="111"/>
      <c r="V1390" s="111"/>
      <c r="W1390" s="111"/>
      <c r="X1390" s="132"/>
      <c r="Y1390" s="133"/>
      <c r="Z1390" s="132"/>
      <c r="AA1390" s="132"/>
      <c r="AB1390" s="133"/>
      <c r="AC1390" s="132"/>
      <c r="AD1390" s="132"/>
      <c r="AE1390" s="133"/>
      <c r="AF1390" s="132"/>
      <c r="AG1390" s="67"/>
    </row>
    <row r="1391" spans="1:33">
      <c r="A1391" s="741">
        <v>80</v>
      </c>
      <c r="B1391" s="897" t="s">
        <v>1731</v>
      </c>
      <c r="C1391" s="898"/>
      <c r="D1391" s="898"/>
      <c r="E1391" s="898"/>
      <c r="F1391" s="898"/>
      <c r="G1391" s="898"/>
      <c r="H1391" s="899"/>
      <c r="I1391" s="216">
        <v>6260</v>
      </c>
      <c r="J1391" s="216">
        <v>3890</v>
      </c>
      <c r="K1391" s="216">
        <v>2540</v>
      </c>
      <c r="L1391" s="111"/>
      <c r="M1391" s="111"/>
      <c r="N1391" s="111"/>
      <c r="O1391" s="111"/>
      <c r="P1391" s="111"/>
      <c r="Q1391" s="111"/>
      <c r="R1391" s="111"/>
      <c r="S1391" s="712"/>
      <c r="T1391" s="111"/>
      <c r="U1391" s="111"/>
      <c r="V1391" s="111"/>
      <c r="W1391" s="111"/>
      <c r="X1391" s="132"/>
      <c r="Y1391" s="133"/>
      <c r="Z1391" s="132"/>
      <c r="AA1391" s="132"/>
      <c r="AB1391" s="133"/>
      <c r="AC1391" s="132"/>
      <c r="AD1391" s="132"/>
      <c r="AE1391" s="133"/>
      <c r="AF1391" s="132"/>
      <c r="AG1391" s="67"/>
    </row>
    <row r="1392" spans="1:33">
      <c r="A1392" s="157"/>
      <c r="B1392" s="113" t="s">
        <v>755</v>
      </c>
      <c r="C1392" s="113" t="s">
        <v>966</v>
      </c>
      <c r="D1392" s="113" t="s">
        <v>967</v>
      </c>
      <c r="E1392" s="113" t="s">
        <v>968</v>
      </c>
      <c r="F1392" s="113" t="s">
        <v>969</v>
      </c>
      <c r="G1392" s="113" t="s">
        <v>970</v>
      </c>
      <c r="H1392" s="113" t="s">
        <v>971</v>
      </c>
      <c r="I1392" s="113" t="s">
        <v>972</v>
      </c>
      <c r="J1392" s="113" t="s">
        <v>973</v>
      </c>
      <c r="K1392" s="113" t="s">
        <v>974</v>
      </c>
      <c r="L1392" s="111"/>
      <c r="M1392" s="111"/>
      <c r="N1392" s="67"/>
      <c r="O1392" s="67"/>
      <c r="P1392" s="67"/>
      <c r="Q1392" s="67"/>
      <c r="R1392" s="67"/>
      <c r="S1392" s="67"/>
      <c r="T1392" s="67"/>
      <c r="U1392" s="67"/>
      <c r="V1392" s="67"/>
      <c r="W1392" s="67"/>
      <c r="X1392" s="67"/>
      <c r="Y1392" s="67"/>
      <c r="Z1392" s="67"/>
      <c r="AA1392" s="67"/>
      <c r="AB1392" s="67"/>
      <c r="AC1392" s="67"/>
      <c r="AD1392" s="67"/>
      <c r="AE1392" s="67"/>
      <c r="AF1392" s="67"/>
      <c r="AG1392" s="67"/>
    </row>
    <row r="1393" spans="1:33">
      <c r="A1393" s="134"/>
      <c r="B1393" s="153">
        <v>1</v>
      </c>
      <c r="C1393" s="121" t="s">
        <v>978</v>
      </c>
      <c r="D1393" s="121" t="s">
        <v>1732</v>
      </c>
      <c r="E1393" s="183">
        <v>1</v>
      </c>
      <c r="F1393" s="121">
        <v>1</v>
      </c>
      <c r="G1393" s="164">
        <f>'Assumptions HR_AUN'!$F$8</f>
        <v>80.053187003968247</v>
      </c>
      <c r="H1393" s="164">
        <f t="shared" ref="H1393:H1403" si="1210">F1393*G1393*E1393</f>
        <v>80.053187003968247</v>
      </c>
      <c r="I1393" s="164">
        <f t="shared" ref="I1393:I1405" si="1211">$H1393*$I$1391</f>
        <v>501132.95064484124</v>
      </c>
      <c r="J1393" s="164">
        <f t="shared" ref="J1393:J1405" si="1212">$H1393*$J$1391</f>
        <v>311406.89744543651</v>
      </c>
      <c r="K1393" s="164">
        <f t="shared" ref="K1393:K1405" si="1213">$H1393*$K$1391</f>
        <v>203335.09499007935</v>
      </c>
      <c r="L1393" s="111"/>
      <c r="M1393" s="111"/>
      <c r="N1393" s="67"/>
      <c r="O1393" s="67"/>
      <c r="P1393" s="67"/>
      <c r="Q1393" s="67"/>
      <c r="R1393" s="67"/>
      <c r="S1393" s="67"/>
      <c r="T1393" s="67"/>
      <c r="U1393" s="67"/>
      <c r="V1393" s="67"/>
      <c r="W1393" s="67"/>
      <c r="X1393" s="67"/>
      <c r="Y1393" s="67"/>
      <c r="Z1393" s="67"/>
      <c r="AA1393" s="67"/>
      <c r="AB1393" s="67"/>
      <c r="AC1393" s="67"/>
      <c r="AD1393" s="67"/>
      <c r="AE1393" s="67"/>
      <c r="AF1393" s="67"/>
      <c r="AG1393" s="67"/>
    </row>
    <row r="1394" spans="1:33">
      <c r="A1394" s="134"/>
      <c r="B1394" s="153">
        <v>2</v>
      </c>
      <c r="C1394" s="121" t="s">
        <v>978</v>
      </c>
      <c r="D1394" s="121" t="s">
        <v>1733</v>
      </c>
      <c r="E1394" s="183">
        <v>1</v>
      </c>
      <c r="F1394" s="121">
        <v>1</v>
      </c>
      <c r="G1394" s="164">
        <f>'Assumptions HR_AUN'!$F$8</f>
        <v>80.053187003968247</v>
      </c>
      <c r="H1394" s="164">
        <f t="shared" si="1210"/>
        <v>80.053187003968247</v>
      </c>
      <c r="I1394" s="164">
        <f t="shared" si="1211"/>
        <v>501132.95064484124</v>
      </c>
      <c r="J1394" s="164">
        <f t="shared" si="1212"/>
        <v>311406.89744543651</v>
      </c>
      <c r="K1394" s="164">
        <f t="shared" si="1213"/>
        <v>203335.09499007935</v>
      </c>
      <c r="L1394" s="111"/>
      <c r="M1394" s="111"/>
      <c r="N1394" s="67"/>
      <c r="O1394" s="67"/>
      <c r="P1394" s="67"/>
      <c r="Q1394" s="67"/>
      <c r="R1394" s="67"/>
      <c r="S1394" s="67"/>
      <c r="T1394" s="67"/>
      <c r="U1394" s="67"/>
      <c r="V1394" s="67"/>
      <c r="W1394" s="67"/>
      <c r="X1394" s="67"/>
      <c r="Y1394" s="67"/>
      <c r="Z1394" s="67"/>
      <c r="AA1394" s="67"/>
      <c r="AB1394" s="67"/>
      <c r="AC1394" s="67"/>
      <c r="AD1394" s="67"/>
      <c r="AE1394" s="67"/>
      <c r="AF1394" s="67"/>
      <c r="AG1394" s="67"/>
    </row>
    <row r="1395" spans="1:33">
      <c r="A1395" s="134"/>
      <c r="B1395" s="153">
        <v>3</v>
      </c>
      <c r="C1395" s="121" t="s">
        <v>978</v>
      </c>
      <c r="D1395" s="121" t="s">
        <v>1734</v>
      </c>
      <c r="E1395" s="183">
        <v>0.5</v>
      </c>
      <c r="F1395" s="121">
        <v>1</v>
      </c>
      <c r="G1395" s="164">
        <f>'Assumptions HR_AUN'!$F$8</f>
        <v>80.053187003968247</v>
      </c>
      <c r="H1395" s="164">
        <f t="shared" si="1210"/>
        <v>40.026593501984124</v>
      </c>
      <c r="I1395" s="164">
        <f t="shared" si="1211"/>
        <v>250566.47532242062</v>
      </c>
      <c r="J1395" s="164">
        <f t="shared" si="1212"/>
        <v>155703.44872271825</v>
      </c>
      <c r="K1395" s="164">
        <f t="shared" si="1213"/>
        <v>101667.54749503967</v>
      </c>
      <c r="L1395" s="111"/>
      <c r="M1395" s="111"/>
      <c r="N1395" s="67"/>
      <c r="O1395" s="67"/>
      <c r="P1395" s="67"/>
      <c r="Q1395" s="67"/>
      <c r="R1395" s="67"/>
      <c r="S1395" s="67"/>
      <c r="T1395" s="67"/>
      <c r="U1395" s="67"/>
      <c r="V1395" s="67"/>
      <c r="W1395" s="67"/>
      <c r="X1395" s="67"/>
      <c r="Y1395" s="67"/>
      <c r="Z1395" s="67"/>
      <c r="AA1395" s="67"/>
      <c r="AB1395" s="67"/>
      <c r="AC1395" s="67"/>
      <c r="AD1395" s="67"/>
      <c r="AE1395" s="67"/>
      <c r="AF1395" s="67"/>
      <c r="AG1395" s="67"/>
    </row>
    <row r="1396" spans="1:33">
      <c r="A1396" s="134"/>
      <c r="B1396" s="153">
        <v>4</v>
      </c>
      <c r="C1396" s="121" t="s">
        <v>978</v>
      </c>
      <c r="D1396" s="121" t="s">
        <v>1735</v>
      </c>
      <c r="E1396" s="183">
        <v>0.5</v>
      </c>
      <c r="F1396" s="121">
        <v>1</v>
      </c>
      <c r="G1396" s="164">
        <f>'Assumptions HR_AUN'!$F$8</f>
        <v>80.053187003968247</v>
      </c>
      <c r="H1396" s="164">
        <f t="shared" si="1210"/>
        <v>40.026593501984124</v>
      </c>
      <c r="I1396" s="164">
        <f t="shared" si="1211"/>
        <v>250566.47532242062</v>
      </c>
      <c r="J1396" s="164">
        <f t="shared" si="1212"/>
        <v>155703.44872271825</v>
      </c>
      <c r="K1396" s="164">
        <f t="shared" si="1213"/>
        <v>101667.54749503967</v>
      </c>
      <c r="L1396" s="111"/>
      <c r="M1396" s="111"/>
      <c r="N1396" s="67"/>
      <c r="O1396" s="67"/>
      <c r="P1396" s="67"/>
      <c r="Q1396" s="67"/>
      <c r="R1396" s="67"/>
      <c r="S1396" s="67"/>
      <c r="T1396" s="67"/>
      <c r="U1396" s="67"/>
      <c r="V1396" s="67"/>
      <c r="W1396" s="67"/>
      <c r="X1396" s="67"/>
      <c r="Y1396" s="67"/>
      <c r="Z1396" s="67"/>
      <c r="AA1396" s="67"/>
      <c r="AB1396" s="67"/>
      <c r="AC1396" s="67"/>
      <c r="AD1396" s="67"/>
      <c r="AE1396" s="67"/>
      <c r="AF1396" s="67"/>
      <c r="AG1396" s="67"/>
    </row>
    <row r="1397" spans="1:33">
      <c r="A1397" s="134"/>
      <c r="B1397" s="153">
        <v>5</v>
      </c>
      <c r="C1397" s="121" t="s">
        <v>978</v>
      </c>
      <c r="D1397" s="121" t="s">
        <v>1736</v>
      </c>
      <c r="E1397" s="183">
        <v>1</v>
      </c>
      <c r="F1397" s="121">
        <v>1</v>
      </c>
      <c r="G1397" s="164">
        <f>'Assumptions HR_AUN'!$F$8</f>
        <v>80.053187003968247</v>
      </c>
      <c r="H1397" s="164">
        <f t="shared" si="1210"/>
        <v>80.053187003968247</v>
      </c>
      <c r="I1397" s="164">
        <f t="shared" si="1211"/>
        <v>501132.95064484124</v>
      </c>
      <c r="J1397" s="164">
        <f t="shared" si="1212"/>
        <v>311406.89744543651</v>
      </c>
      <c r="K1397" s="164">
        <f t="shared" si="1213"/>
        <v>203335.09499007935</v>
      </c>
      <c r="L1397" s="111"/>
      <c r="M1397" s="111"/>
      <c r="N1397" s="67"/>
      <c r="O1397" s="67"/>
      <c r="P1397" s="67"/>
      <c r="Q1397" s="67"/>
      <c r="R1397" s="67"/>
      <c r="S1397" s="67"/>
      <c r="T1397" s="67"/>
      <c r="U1397" s="67"/>
      <c r="V1397" s="67"/>
      <c r="W1397" s="67"/>
      <c r="X1397" s="67"/>
      <c r="Y1397" s="67"/>
      <c r="Z1397" s="67"/>
      <c r="AA1397" s="67"/>
      <c r="AB1397" s="67"/>
      <c r="AC1397" s="67"/>
      <c r="AD1397" s="67"/>
      <c r="AE1397" s="67"/>
      <c r="AF1397" s="67"/>
      <c r="AG1397" s="67"/>
    </row>
    <row r="1398" spans="1:33">
      <c r="A1398" s="134"/>
      <c r="B1398" s="153">
        <v>6</v>
      </c>
      <c r="C1398" s="121" t="s">
        <v>987</v>
      </c>
      <c r="D1398" s="121" t="s">
        <v>988</v>
      </c>
      <c r="E1398" s="183">
        <v>3</v>
      </c>
      <c r="F1398" s="121">
        <v>0.2</v>
      </c>
      <c r="G1398" s="164">
        <f>$D$19</f>
        <v>244</v>
      </c>
      <c r="H1398" s="164">
        <f t="shared" si="1210"/>
        <v>146.4</v>
      </c>
      <c r="I1398" s="164">
        <f t="shared" si="1211"/>
        <v>916464</v>
      </c>
      <c r="J1398" s="164">
        <f t="shared" si="1212"/>
        <v>569496</v>
      </c>
      <c r="K1398" s="164">
        <f t="shared" si="1213"/>
        <v>371856</v>
      </c>
      <c r="L1398" s="111"/>
      <c r="M1398" s="111"/>
      <c r="N1398" s="67"/>
      <c r="O1398" s="67"/>
      <c r="P1398" s="67"/>
      <c r="Q1398" s="67"/>
      <c r="R1398" s="67"/>
      <c r="S1398" s="67"/>
      <c r="T1398" s="67"/>
      <c r="U1398" s="67"/>
      <c r="V1398" s="67"/>
      <c r="W1398" s="67"/>
      <c r="X1398" s="67"/>
      <c r="Y1398" s="67"/>
      <c r="Z1398" s="67"/>
      <c r="AA1398" s="67"/>
      <c r="AB1398" s="67"/>
      <c r="AC1398" s="67"/>
      <c r="AD1398" s="67"/>
      <c r="AE1398" s="67"/>
      <c r="AF1398" s="67"/>
      <c r="AG1398" s="67"/>
    </row>
    <row r="1399" spans="1:33">
      <c r="A1399" s="134"/>
      <c r="B1399" s="153">
        <v>7</v>
      </c>
      <c r="C1399" s="121" t="s">
        <v>985</v>
      </c>
      <c r="D1399" s="121" t="s">
        <v>986</v>
      </c>
      <c r="E1399" s="184">
        <v>2</v>
      </c>
      <c r="F1399" s="121">
        <v>0.3</v>
      </c>
      <c r="G1399" s="164">
        <f>$D$32</f>
        <v>60</v>
      </c>
      <c r="H1399" s="164">
        <f t="shared" si="1210"/>
        <v>36</v>
      </c>
      <c r="I1399" s="164">
        <f t="shared" si="1211"/>
        <v>225360</v>
      </c>
      <c r="J1399" s="164">
        <f t="shared" si="1212"/>
        <v>140040</v>
      </c>
      <c r="K1399" s="164">
        <f t="shared" si="1213"/>
        <v>91440</v>
      </c>
      <c r="L1399" s="111"/>
      <c r="M1399" s="111"/>
      <c r="N1399" s="67"/>
      <c r="O1399" s="67"/>
      <c r="P1399" s="67"/>
      <c r="Q1399" s="67"/>
      <c r="R1399" s="67"/>
      <c r="S1399" s="67"/>
      <c r="T1399" s="67"/>
      <c r="U1399" s="67"/>
      <c r="V1399" s="67"/>
      <c r="W1399" s="67"/>
      <c r="X1399" s="67"/>
      <c r="Y1399" s="67"/>
      <c r="Z1399" s="67"/>
      <c r="AA1399" s="67"/>
      <c r="AB1399" s="67"/>
      <c r="AC1399" s="67"/>
      <c r="AD1399" s="67"/>
      <c r="AE1399" s="67"/>
      <c r="AF1399" s="67"/>
      <c r="AG1399" s="67"/>
    </row>
    <row r="1400" spans="1:33">
      <c r="A1400" s="134"/>
      <c r="B1400" s="153">
        <v>8</v>
      </c>
      <c r="C1400" s="121" t="s">
        <v>978</v>
      </c>
      <c r="D1400" s="121" t="s">
        <v>1737</v>
      </c>
      <c r="E1400" s="183">
        <v>1</v>
      </c>
      <c r="F1400" s="121">
        <v>1</v>
      </c>
      <c r="G1400" s="164">
        <f>'Assumptions HR_AUN'!$F$8</f>
        <v>80.053187003968247</v>
      </c>
      <c r="H1400" s="164">
        <f t="shared" si="1210"/>
        <v>80.053187003968247</v>
      </c>
      <c r="I1400" s="164">
        <f t="shared" si="1211"/>
        <v>501132.95064484124</v>
      </c>
      <c r="J1400" s="164">
        <f t="shared" si="1212"/>
        <v>311406.89744543651</v>
      </c>
      <c r="K1400" s="164">
        <f t="shared" si="1213"/>
        <v>203335.09499007935</v>
      </c>
      <c r="L1400" s="111"/>
      <c r="M1400" s="111"/>
      <c r="N1400" s="67"/>
      <c r="O1400" s="67"/>
      <c r="P1400" s="67"/>
      <c r="Q1400" s="67"/>
      <c r="R1400" s="67"/>
      <c r="S1400" s="67"/>
      <c r="T1400" s="67"/>
      <c r="U1400" s="67"/>
      <c r="V1400" s="67"/>
      <c r="W1400" s="67"/>
      <c r="X1400" s="67"/>
      <c r="Y1400" s="67"/>
      <c r="Z1400" s="67"/>
      <c r="AA1400" s="67"/>
      <c r="AB1400" s="67"/>
      <c r="AC1400" s="67"/>
      <c r="AD1400" s="67"/>
      <c r="AE1400" s="67"/>
      <c r="AF1400" s="67"/>
      <c r="AG1400" s="67"/>
    </row>
    <row r="1401" spans="1:33">
      <c r="A1401" s="134"/>
      <c r="B1401" s="153">
        <v>9</v>
      </c>
      <c r="C1401" s="121" t="s">
        <v>978</v>
      </c>
      <c r="D1401" s="121" t="s">
        <v>1738</v>
      </c>
      <c r="E1401" s="183">
        <v>1</v>
      </c>
      <c r="F1401" s="121">
        <v>1</v>
      </c>
      <c r="G1401" s="164">
        <f>'Assumptions HR_AUN'!$F$8</f>
        <v>80.053187003968247</v>
      </c>
      <c r="H1401" s="164">
        <f t="shared" si="1210"/>
        <v>80.053187003968247</v>
      </c>
      <c r="I1401" s="164">
        <f t="shared" si="1211"/>
        <v>501132.95064484124</v>
      </c>
      <c r="J1401" s="164">
        <f t="shared" si="1212"/>
        <v>311406.89744543651</v>
      </c>
      <c r="K1401" s="164">
        <f t="shared" si="1213"/>
        <v>203335.09499007935</v>
      </c>
      <c r="L1401" s="111"/>
      <c r="M1401" s="111"/>
      <c r="N1401" s="67"/>
      <c r="O1401" s="67"/>
      <c r="P1401" s="67"/>
      <c r="Q1401" s="67"/>
      <c r="R1401" s="67"/>
      <c r="S1401" s="67"/>
      <c r="T1401" s="67"/>
      <c r="U1401" s="67"/>
      <c r="V1401" s="67"/>
      <c r="W1401" s="67"/>
      <c r="X1401" s="67"/>
      <c r="Y1401" s="67"/>
      <c r="Z1401" s="67"/>
      <c r="AA1401" s="67"/>
      <c r="AB1401" s="67"/>
      <c r="AC1401" s="67"/>
      <c r="AD1401" s="67"/>
      <c r="AE1401" s="67"/>
      <c r="AF1401" s="67"/>
      <c r="AG1401" s="67"/>
    </row>
    <row r="1402" spans="1:33">
      <c r="A1402" s="134"/>
      <c r="B1402" s="153">
        <v>10</v>
      </c>
      <c r="C1402" s="121" t="s">
        <v>978</v>
      </c>
      <c r="D1402" s="121" t="s">
        <v>1739</v>
      </c>
      <c r="E1402" s="183">
        <v>0.05</v>
      </c>
      <c r="F1402" s="183">
        <f>240/27</f>
        <v>8.8888888888888893</v>
      </c>
      <c r="G1402" s="164">
        <f>'Assumptions HR_AUN'!$F$8</f>
        <v>80.053187003968247</v>
      </c>
      <c r="H1402" s="164">
        <f t="shared" si="1210"/>
        <v>35.579194223985887</v>
      </c>
      <c r="I1402" s="164">
        <f t="shared" si="1211"/>
        <v>222725.75584215164</v>
      </c>
      <c r="J1402" s="164">
        <f t="shared" si="1212"/>
        <v>138403.0655313051</v>
      </c>
      <c r="K1402" s="164">
        <f t="shared" si="1213"/>
        <v>90371.153328924149</v>
      </c>
      <c r="L1402" s="111"/>
      <c r="M1402" s="111"/>
      <c r="N1402" s="67"/>
      <c r="O1402" s="67"/>
      <c r="P1402" s="67"/>
      <c r="Q1402" s="67"/>
      <c r="R1402" s="67"/>
      <c r="S1402" s="67"/>
      <c r="T1402" s="67"/>
      <c r="U1402" s="67"/>
      <c r="V1402" s="67"/>
      <c r="W1402" s="67"/>
      <c r="X1402" s="67"/>
      <c r="Y1402" s="67"/>
      <c r="Z1402" s="67"/>
      <c r="AA1402" s="67"/>
      <c r="AB1402" s="67"/>
      <c r="AC1402" s="67"/>
      <c r="AD1402" s="67"/>
      <c r="AE1402" s="67"/>
      <c r="AF1402" s="67"/>
      <c r="AG1402" s="67"/>
    </row>
    <row r="1403" spans="1:33">
      <c r="A1403" s="134"/>
      <c r="B1403" s="153">
        <v>11</v>
      </c>
      <c r="C1403" s="121" t="s">
        <v>997</v>
      </c>
      <c r="D1403" s="121" t="s">
        <v>1740</v>
      </c>
      <c r="E1403" s="183">
        <v>6</v>
      </c>
      <c r="F1403" s="121">
        <v>0.1</v>
      </c>
      <c r="G1403" s="164">
        <f>$D$32</f>
        <v>60</v>
      </c>
      <c r="H1403" s="164">
        <f t="shared" si="1210"/>
        <v>36</v>
      </c>
      <c r="I1403" s="164">
        <f t="shared" si="1211"/>
        <v>225360</v>
      </c>
      <c r="J1403" s="164">
        <f t="shared" si="1212"/>
        <v>140040</v>
      </c>
      <c r="K1403" s="164">
        <f t="shared" si="1213"/>
        <v>91440</v>
      </c>
      <c r="L1403" s="111"/>
      <c r="M1403" s="111"/>
      <c r="N1403" s="67"/>
      <c r="O1403" s="67"/>
      <c r="P1403" s="67"/>
      <c r="Q1403" s="67"/>
      <c r="R1403" s="67"/>
      <c r="S1403" s="67"/>
      <c r="T1403" s="67"/>
      <c r="U1403" s="67"/>
      <c r="V1403" s="67"/>
      <c r="W1403" s="67"/>
      <c r="X1403" s="67"/>
      <c r="Y1403" s="67"/>
      <c r="Z1403" s="67"/>
      <c r="AA1403" s="67"/>
      <c r="AB1403" s="67"/>
      <c r="AC1403" s="67"/>
      <c r="AD1403" s="67"/>
      <c r="AE1403" s="67"/>
      <c r="AF1403" s="67"/>
      <c r="AG1403" s="67"/>
    </row>
    <row r="1404" spans="1:33">
      <c r="A1404" s="134"/>
      <c r="B1404" s="153">
        <v>12</v>
      </c>
      <c r="C1404" s="121" t="s">
        <v>1001</v>
      </c>
      <c r="D1404" s="121"/>
      <c r="E1404" s="121"/>
      <c r="F1404" s="121"/>
      <c r="G1404" s="185">
        <f>$C$13</f>
        <v>0.1</v>
      </c>
      <c r="H1404" s="164">
        <f>SUM(H1393:H1403)*G1404</f>
        <v>73.429831624779524</v>
      </c>
      <c r="I1404" s="164">
        <f t="shared" si="1211"/>
        <v>459670.74597111985</v>
      </c>
      <c r="J1404" s="164">
        <f t="shared" si="1212"/>
        <v>285642.04502039234</v>
      </c>
      <c r="K1404" s="164">
        <f t="shared" si="1213"/>
        <v>186511.77232694</v>
      </c>
      <c r="L1404" s="111"/>
      <c r="M1404" s="111"/>
      <c r="N1404" s="67"/>
      <c r="O1404" s="67"/>
      <c r="P1404" s="67"/>
      <c r="Q1404" s="67"/>
      <c r="R1404" s="67"/>
      <c r="S1404" s="67"/>
      <c r="T1404" s="67"/>
      <c r="U1404" s="67"/>
      <c r="V1404" s="67"/>
      <c r="W1404" s="67"/>
      <c r="X1404" s="67"/>
      <c r="Y1404" s="67"/>
      <c r="Z1404" s="67"/>
      <c r="AA1404" s="67"/>
      <c r="AB1404" s="67"/>
      <c r="AC1404" s="67"/>
      <c r="AD1404" s="67"/>
      <c r="AE1404" s="67"/>
      <c r="AF1404" s="67"/>
      <c r="AG1404" s="67"/>
    </row>
    <row r="1405" spans="1:33">
      <c r="A1405" s="134"/>
      <c r="B1405" s="153">
        <v>13</v>
      </c>
      <c r="C1405" s="121" t="s">
        <v>962</v>
      </c>
      <c r="D1405" s="121"/>
      <c r="E1405" s="121"/>
      <c r="F1405" s="121"/>
      <c r="G1405" s="185">
        <f>$C$14</f>
        <v>0.15</v>
      </c>
      <c r="H1405" s="164">
        <f>SUM(H1393:H1403)*G1405</f>
        <v>110.14474743716929</v>
      </c>
      <c r="I1405" s="164">
        <f t="shared" si="1211"/>
        <v>689506.11895667971</v>
      </c>
      <c r="J1405" s="164">
        <f t="shared" si="1212"/>
        <v>428463.06753058854</v>
      </c>
      <c r="K1405" s="164">
        <f t="shared" si="1213"/>
        <v>279767.65849040996</v>
      </c>
      <c r="L1405" s="67"/>
      <c r="M1405" s="67"/>
      <c r="N1405" s="67"/>
      <c r="O1405" s="67"/>
      <c r="P1405" s="67"/>
      <c r="Q1405" s="67"/>
      <c r="R1405" s="67"/>
      <c r="S1405" s="67"/>
      <c r="T1405" s="67"/>
      <c r="U1405" s="67"/>
      <c r="V1405" s="67"/>
      <c r="W1405" s="67"/>
      <c r="X1405" s="67"/>
      <c r="Y1405" s="67"/>
      <c r="Z1405" s="67"/>
      <c r="AA1405" s="67"/>
      <c r="AB1405" s="67"/>
      <c r="AC1405" s="67"/>
      <c r="AD1405" s="67"/>
      <c r="AE1405" s="67"/>
      <c r="AF1405" s="67"/>
      <c r="AG1405" s="67"/>
    </row>
    <row r="1406" spans="1:33">
      <c r="A1406" s="134"/>
      <c r="B1406" s="186" t="s">
        <v>770</v>
      </c>
      <c r="C1406" s="187"/>
      <c r="D1406" s="187"/>
      <c r="E1406" s="187"/>
      <c r="F1406" s="187"/>
      <c r="G1406" s="188"/>
      <c r="H1406" s="178">
        <f t="shared" ref="H1406:K1406" si="1214">SUM(H1393:H1405)</f>
        <v>917.87289530974397</v>
      </c>
      <c r="I1406" s="178">
        <f t="shared" si="1214"/>
        <v>5745884.3246389991</v>
      </c>
      <c r="J1406" s="178">
        <f t="shared" si="1214"/>
        <v>3570525.5627549049</v>
      </c>
      <c r="K1406" s="178">
        <f t="shared" si="1214"/>
        <v>2331397.15408675</v>
      </c>
      <c r="L1406" s="217"/>
      <c r="M1406" s="67"/>
      <c r="N1406" s="67"/>
      <c r="O1406" s="67"/>
      <c r="P1406" s="67"/>
      <c r="Q1406" s="67"/>
      <c r="R1406" s="67"/>
      <c r="S1406" s="67"/>
      <c r="T1406" s="67"/>
      <c r="U1406" s="67"/>
      <c r="V1406" s="67"/>
      <c r="W1406" s="67"/>
      <c r="X1406" s="67"/>
      <c r="Y1406" s="67"/>
      <c r="Z1406" s="67"/>
      <c r="AA1406" s="67"/>
      <c r="AB1406" s="67"/>
      <c r="AC1406" s="67"/>
      <c r="AD1406" s="67"/>
      <c r="AE1406" s="67"/>
      <c r="AF1406" s="67"/>
      <c r="AG1406" s="67"/>
    </row>
    <row r="1407" spans="1:33">
      <c r="A1407" s="9"/>
      <c r="B1407" s="67"/>
      <c r="C1407" s="67"/>
      <c r="D1407" s="67"/>
      <c r="E1407" s="67"/>
      <c r="F1407" s="67"/>
      <c r="G1407" s="67"/>
      <c r="H1407" s="67"/>
      <c r="I1407" s="67"/>
      <c r="J1407" s="67"/>
      <c r="K1407" s="67"/>
      <c r="L1407" s="217"/>
      <c r="M1407" s="67"/>
      <c r="N1407" s="67"/>
      <c r="O1407" s="67"/>
      <c r="P1407" s="67"/>
      <c r="Q1407" s="67"/>
      <c r="R1407" s="67"/>
      <c r="S1407" s="67"/>
      <c r="T1407" s="67"/>
      <c r="U1407" s="67"/>
      <c r="V1407" s="67"/>
      <c r="W1407" s="67"/>
      <c r="X1407" s="67"/>
      <c r="Y1407" s="67"/>
      <c r="Z1407" s="67"/>
      <c r="AA1407" s="67"/>
      <c r="AB1407" s="67"/>
      <c r="AC1407" s="67"/>
      <c r="AD1407" s="67"/>
      <c r="AE1407" s="67"/>
      <c r="AF1407" s="67"/>
      <c r="AG1407" s="67"/>
    </row>
    <row r="1408" spans="1:33">
      <c r="A1408" s="9"/>
      <c r="B1408" s="67"/>
      <c r="C1408" s="67"/>
      <c r="D1408" s="67"/>
      <c r="E1408" s="67"/>
      <c r="F1408" s="67"/>
      <c r="G1408" s="67"/>
      <c r="H1408" s="67"/>
      <c r="I1408" s="67"/>
      <c r="J1408" s="67"/>
      <c r="K1408" s="67"/>
      <c r="L1408" s="111"/>
      <c r="M1408" s="67"/>
      <c r="N1408" s="67"/>
      <c r="O1408" s="67"/>
      <c r="P1408" s="67"/>
      <c r="Q1408" s="67"/>
      <c r="R1408" s="67"/>
      <c r="S1408" s="67"/>
      <c r="T1408" s="67"/>
      <c r="U1408" s="67"/>
      <c r="V1408" s="67"/>
      <c r="W1408" s="67"/>
      <c r="X1408" s="67"/>
      <c r="Y1408" s="67"/>
      <c r="Z1408" s="67"/>
      <c r="AA1408" s="67"/>
      <c r="AB1408" s="67"/>
      <c r="AC1408" s="67"/>
      <c r="AD1408" s="67"/>
      <c r="AE1408" s="67"/>
      <c r="AF1408" s="67"/>
      <c r="AG1408" s="67"/>
    </row>
    <row r="1409" spans="1:33">
      <c r="A1409" s="9"/>
      <c r="B1409" s="67"/>
      <c r="C1409" s="67"/>
      <c r="D1409" s="67"/>
      <c r="E1409" s="67"/>
      <c r="F1409" s="67"/>
      <c r="G1409" s="67"/>
      <c r="H1409" s="67"/>
      <c r="I1409" s="67"/>
      <c r="J1409" s="67"/>
      <c r="K1409" s="67"/>
      <c r="L1409" s="67"/>
      <c r="M1409" s="67"/>
      <c r="N1409" s="67"/>
      <c r="O1409" s="67"/>
      <c r="P1409" s="67"/>
      <c r="Q1409" s="67"/>
      <c r="R1409" s="67"/>
      <c r="S1409" s="67"/>
      <c r="T1409" s="67"/>
      <c r="U1409" s="67"/>
      <c r="V1409" s="67"/>
      <c r="W1409" s="67"/>
      <c r="X1409" s="67"/>
      <c r="Y1409" s="67"/>
      <c r="Z1409" s="67"/>
      <c r="AA1409" s="67"/>
      <c r="AB1409" s="67"/>
      <c r="AC1409" s="67"/>
      <c r="AD1409" s="67"/>
      <c r="AE1409" s="67"/>
      <c r="AF1409" s="67"/>
      <c r="AG1409" s="67"/>
    </row>
    <row r="1410" spans="1:33">
      <c r="A1410" s="741">
        <v>81</v>
      </c>
      <c r="B1410" s="897" t="s">
        <v>1741</v>
      </c>
      <c r="C1410" s="898"/>
      <c r="D1410" s="898"/>
      <c r="E1410" s="898"/>
      <c r="F1410" s="898"/>
      <c r="G1410" s="898"/>
      <c r="H1410" s="899"/>
      <c r="I1410" s="216">
        <v>20</v>
      </c>
      <c r="J1410" s="216">
        <v>30</v>
      </c>
      <c r="K1410" s="216">
        <v>40</v>
      </c>
      <c r="L1410" s="111"/>
      <c r="M1410" s="111"/>
      <c r="N1410" s="111"/>
      <c r="O1410" s="111"/>
      <c r="P1410" s="111"/>
      <c r="Q1410" s="111"/>
      <c r="R1410" s="111"/>
      <c r="S1410" s="712"/>
      <c r="T1410" s="111"/>
      <c r="U1410" s="111"/>
      <c r="V1410" s="111"/>
      <c r="W1410" s="111"/>
      <c r="X1410" s="132"/>
      <c r="Y1410" s="133"/>
      <c r="Z1410" s="132"/>
      <c r="AA1410" s="132"/>
      <c r="AB1410" s="133"/>
      <c r="AC1410" s="132"/>
      <c r="AD1410" s="132"/>
      <c r="AE1410" s="133"/>
      <c r="AF1410" s="132"/>
      <c r="AG1410" s="67"/>
    </row>
    <row r="1411" spans="1:33">
      <c r="A1411" s="157"/>
      <c r="B1411" s="113" t="s">
        <v>755</v>
      </c>
      <c r="C1411" s="113" t="s">
        <v>966</v>
      </c>
      <c r="D1411" s="113" t="s">
        <v>967</v>
      </c>
      <c r="E1411" s="113" t="s">
        <v>968</v>
      </c>
      <c r="F1411" s="113" t="s">
        <v>969</v>
      </c>
      <c r="G1411" s="113" t="s">
        <v>970</v>
      </c>
      <c r="H1411" s="113" t="s">
        <v>971</v>
      </c>
      <c r="I1411" s="113" t="s">
        <v>972</v>
      </c>
      <c r="J1411" s="113" t="s">
        <v>973</v>
      </c>
      <c r="K1411" s="113" t="s">
        <v>974</v>
      </c>
      <c r="L1411" s="111"/>
      <c r="M1411" s="111"/>
      <c r="N1411" s="67"/>
      <c r="O1411" s="67"/>
      <c r="P1411" s="67"/>
      <c r="Q1411" s="67"/>
      <c r="R1411" s="67"/>
      <c r="S1411" s="67"/>
      <c r="T1411" s="67"/>
      <c r="U1411" s="67"/>
      <c r="V1411" s="67"/>
      <c r="W1411" s="67"/>
      <c r="X1411" s="67"/>
      <c r="Y1411" s="67"/>
      <c r="Z1411" s="67"/>
      <c r="AA1411" s="67"/>
      <c r="AB1411" s="67"/>
      <c r="AC1411" s="67"/>
      <c r="AD1411" s="67"/>
      <c r="AE1411" s="67"/>
      <c r="AF1411" s="67"/>
      <c r="AG1411" s="67"/>
    </row>
    <row r="1412" spans="1:33">
      <c r="A1412" s="134"/>
      <c r="B1412" s="153">
        <v>1</v>
      </c>
      <c r="C1412" s="121"/>
      <c r="D1412" s="121" t="s">
        <v>1742</v>
      </c>
      <c r="E1412" s="183">
        <v>1</v>
      </c>
      <c r="F1412" s="121">
        <v>1</v>
      </c>
      <c r="G1412" s="164">
        <f>'Assumptions HR_AUN'!$F$8</f>
        <v>80.053187003968247</v>
      </c>
      <c r="H1412" s="164">
        <f t="shared" ref="H1412:H1423" si="1215">F1412*G1412*E1412</f>
        <v>80.053187003968247</v>
      </c>
      <c r="I1412" s="164">
        <f t="shared" ref="I1412:I1425" si="1216">$H1412*$I$1410</f>
        <v>1601.0637400793648</v>
      </c>
      <c r="J1412" s="164">
        <f t="shared" ref="J1412:J1425" si="1217">$H1412*$J$1410</f>
        <v>2401.5956101190473</v>
      </c>
      <c r="K1412" s="164">
        <f t="shared" ref="K1412:K1425" si="1218">$H1412*$K$1410</f>
        <v>3202.1274801587297</v>
      </c>
      <c r="L1412" s="111"/>
      <c r="M1412" s="111"/>
      <c r="N1412" s="67"/>
      <c r="O1412" s="67"/>
      <c r="P1412" s="67"/>
      <c r="Q1412" s="67"/>
      <c r="R1412" s="67"/>
      <c r="S1412" s="67"/>
      <c r="T1412" s="67"/>
      <c r="U1412" s="67"/>
      <c r="V1412" s="67"/>
      <c r="W1412" s="67"/>
      <c r="X1412" s="67"/>
      <c r="Y1412" s="67"/>
      <c r="Z1412" s="67"/>
      <c r="AA1412" s="67"/>
      <c r="AB1412" s="67"/>
      <c r="AC1412" s="67"/>
      <c r="AD1412" s="67"/>
      <c r="AE1412" s="67"/>
      <c r="AF1412" s="67"/>
      <c r="AG1412" s="67"/>
    </row>
    <row r="1413" spans="1:33">
      <c r="A1413" s="134"/>
      <c r="B1413" s="153">
        <v>2</v>
      </c>
      <c r="C1413" s="121"/>
      <c r="D1413" s="121" t="s">
        <v>1743</v>
      </c>
      <c r="E1413" s="183">
        <v>1</v>
      </c>
      <c r="F1413" s="121">
        <v>1</v>
      </c>
      <c r="G1413" s="164">
        <f>'Assumptions HR_AUN'!$F$8</f>
        <v>80.053187003968247</v>
      </c>
      <c r="H1413" s="164">
        <f t="shared" si="1215"/>
        <v>80.053187003968247</v>
      </c>
      <c r="I1413" s="164">
        <f t="shared" si="1216"/>
        <v>1601.0637400793648</v>
      </c>
      <c r="J1413" s="164">
        <f t="shared" si="1217"/>
        <v>2401.5956101190473</v>
      </c>
      <c r="K1413" s="164">
        <f t="shared" si="1218"/>
        <v>3202.1274801587297</v>
      </c>
      <c r="L1413" s="111"/>
      <c r="M1413" s="111"/>
      <c r="N1413" s="67"/>
      <c r="O1413" s="67"/>
      <c r="P1413" s="67"/>
      <c r="Q1413" s="67"/>
      <c r="R1413" s="67"/>
      <c r="S1413" s="67"/>
      <c r="T1413" s="67"/>
      <c r="U1413" s="67"/>
      <c r="V1413" s="67"/>
      <c r="W1413" s="67"/>
      <c r="X1413" s="67"/>
      <c r="Y1413" s="67"/>
      <c r="Z1413" s="67"/>
      <c r="AA1413" s="67"/>
      <c r="AB1413" s="67"/>
      <c r="AC1413" s="67"/>
      <c r="AD1413" s="67"/>
      <c r="AE1413" s="67"/>
      <c r="AF1413" s="67"/>
      <c r="AG1413" s="67"/>
    </row>
    <row r="1414" spans="1:33">
      <c r="A1414" s="134"/>
      <c r="B1414" s="153">
        <v>3</v>
      </c>
      <c r="C1414" s="121"/>
      <c r="D1414" s="121" t="s">
        <v>1744</v>
      </c>
      <c r="E1414" s="183">
        <v>0.5</v>
      </c>
      <c r="F1414" s="121">
        <v>3</v>
      </c>
      <c r="G1414" s="164">
        <f>'Assumptions HR_AUN'!$F$8</f>
        <v>80.053187003968247</v>
      </c>
      <c r="H1414" s="164">
        <f t="shared" si="1215"/>
        <v>120.07978050595237</v>
      </c>
      <c r="I1414" s="164">
        <f t="shared" si="1216"/>
        <v>2401.5956101190473</v>
      </c>
      <c r="J1414" s="164">
        <f t="shared" si="1217"/>
        <v>3602.3934151785711</v>
      </c>
      <c r="K1414" s="164">
        <f t="shared" si="1218"/>
        <v>4803.1912202380945</v>
      </c>
      <c r="L1414" s="111"/>
      <c r="M1414" s="111"/>
      <c r="N1414" s="67"/>
      <c r="O1414" s="67"/>
      <c r="P1414" s="67"/>
      <c r="Q1414" s="67"/>
      <c r="R1414" s="67"/>
      <c r="S1414" s="67"/>
      <c r="T1414" s="67"/>
      <c r="U1414" s="67"/>
      <c r="V1414" s="67"/>
      <c r="W1414" s="67"/>
      <c r="X1414" s="67"/>
      <c r="Y1414" s="67"/>
      <c r="Z1414" s="67"/>
      <c r="AA1414" s="67"/>
      <c r="AB1414" s="67"/>
      <c r="AC1414" s="67"/>
      <c r="AD1414" s="67"/>
      <c r="AE1414" s="67"/>
      <c r="AF1414" s="67"/>
      <c r="AG1414" s="67"/>
    </row>
    <row r="1415" spans="1:33">
      <c r="A1415" s="134"/>
      <c r="B1415" s="153">
        <v>4</v>
      </c>
      <c r="C1415" s="121"/>
      <c r="D1415" s="121" t="s">
        <v>1745</v>
      </c>
      <c r="E1415" s="183">
        <v>1</v>
      </c>
      <c r="F1415" s="121">
        <v>1</v>
      </c>
      <c r="G1415" s="164">
        <v>36000</v>
      </c>
      <c r="H1415" s="164">
        <f t="shared" si="1215"/>
        <v>36000</v>
      </c>
      <c r="I1415" s="164">
        <f t="shared" si="1216"/>
        <v>720000</v>
      </c>
      <c r="J1415" s="164">
        <f t="shared" si="1217"/>
        <v>1080000</v>
      </c>
      <c r="K1415" s="164">
        <f t="shared" si="1218"/>
        <v>1440000</v>
      </c>
      <c r="L1415" s="111"/>
      <c r="M1415" s="111"/>
      <c r="N1415" s="67"/>
      <c r="O1415" s="67"/>
      <c r="P1415" s="67"/>
      <c r="Q1415" s="67"/>
      <c r="R1415" s="67"/>
      <c r="S1415" s="67"/>
      <c r="T1415" s="67"/>
      <c r="U1415" s="67"/>
      <c r="V1415" s="67"/>
      <c r="W1415" s="67"/>
      <c r="X1415" s="67"/>
      <c r="Y1415" s="67"/>
      <c r="Z1415" s="67"/>
      <c r="AA1415" s="67"/>
      <c r="AB1415" s="67"/>
      <c r="AC1415" s="67"/>
      <c r="AD1415" s="67"/>
      <c r="AE1415" s="67"/>
      <c r="AF1415" s="67"/>
      <c r="AG1415" s="67"/>
    </row>
    <row r="1416" spans="1:33">
      <c r="A1416" s="134"/>
      <c r="B1416" s="153">
        <v>5</v>
      </c>
      <c r="C1416" s="121"/>
      <c r="D1416" s="121" t="s">
        <v>1746</v>
      </c>
      <c r="E1416" s="183">
        <v>1</v>
      </c>
      <c r="F1416" s="121">
        <v>6</v>
      </c>
      <c r="G1416" s="164">
        <f>$D$19</f>
        <v>244</v>
      </c>
      <c r="H1416" s="164">
        <f t="shared" si="1215"/>
        <v>1464</v>
      </c>
      <c r="I1416" s="164">
        <f t="shared" si="1216"/>
        <v>29280</v>
      </c>
      <c r="J1416" s="164">
        <f t="shared" si="1217"/>
        <v>43920</v>
      </c>
      <c r="K1416" s="164">
        <f t="shared" si="1218"/>
        <v>58560</v>
      </c>
      <c r="L1416" s="111"/>
      <c r="M1416" s="111"/>
      <c r="N1416" s="67"/>
      <c r="O1416" s="67"/>
      <c r="P1416" s="67"/>
      <c r="Q1416" s="67"/>
      <c r="R1416" s="67"/>
      <c r="S1416" s="67"/>
      <c r="T1416" s="67"/>
      <c r="U1416" s="67"/>
      <c r="V1416" s="67"/>
      <c r="W1416" s="67"/>
      <c r="X1416" s="67"/>
      <c r="Y1416" s="67"/>
      <c r="Z1416" s="67"/>
      <c r="AA1416" s="67"/>
      <c r="AB1416" s="67"/>
      <c r="AC1416" s="67"/>
      <c r="AD1416" s="67"/>
      <c r="AE1416" s="67"/>
      <c r="AF1416" s="67"/>
      <c r="AG1416" s="67"/>
    </row>
    <row r="1417" spans="1:33">
      <c r="A1417" s="134"/>
      <c r="B1417" s="153">
        <v>6</v>
      </c>
      <c r="C1417" s="121"/>
      <c r="D1417" s="121" t="s">
        <v>1747</v>
      </c>
      <c r="E1417" s="183">
        <v>1</v>
      </c>
      <c r="F1417" s="121">
        <v>6</v>
      </c>
      <c r="G1417" s="164">
        <v>400</v>
      </c>
      <c r="H1417" s="164">
        <f t="shared" si="1215"/>
        <v>2400</v>
      </c>
      <c r="I1417" s="164">
        <f t="shared" si="1216"/>
        <v>48000</v>
      </c>
      <c r="J1417" s="164">
        <f t="shared" si="1217"/>
        <v>72000</v>
      </c>
      <c r="K1417" s="164">
        <f t="shared" si="1218"/>
        <v>96000</v>
      </c>
      <c r="L1417" s="111"/>
      <c r="M1417" s="111"/>
      <c r="N1417" s="67"/>
      <c r="O1417" s="67"/>
      <c r="P1417" s="67"/>
      <c r="Q1417" s="67"/>
      <c r="R1417" s="67"/>
      <c r="S1417" s="67"/>
      <c r="T1417" s="67"/>
      <c r="U1417" s="67"/>
      <c r="V1417" s="67"/>
      <c r="W1417" s="67"/>
      <c r="X1417" s="67"/>
      <c r="Y1417" s="67"/>
      <c r="Z1417" s="67"/>
      <c r="AA1417" s="67"/>
      <c r="AB1417" s="67"/>
      <c r="AC1417" s="67"/>
      <c r="AD1417" s="67"/>
      <c r="AE1417" s="67"/>
      <c r="AF1417" s="67"/>
      <c r="AG1417" s="67"/>
    </row>
    <row r="1418" spans="1:33">
      <c r="A1418" s="134"/>
      <c r="B1418" s="153">
        <v>7</v>
      </c>
      <c r="C1418" s="121"/>
      <c r="D1418" s="121" t="s">
        <v>1748</v>
      </c>
      <c r="E1418" s="184">
        <v>1</v>
      </c>
      <c r="F1418" s="121">
        <v>1</v>
      </c>
      <c r="G1418" s="164">
        <f>5000/30</f>
        <v>166.66666666666666</v>
      </c>
      <c r="H1418" s="164">
        <f t="shared" si="1215"/>
        <v>166.66666666666666</v>
      </c>
      <c r="I1418" s="164">
        <f t="shared" si="1216"/>
        <v>3333.333333333333</v>
      </c>
      <c r="J1418" s="164">
        <f t="shared" si="1217"/>
        <v>5000</v>
      </c>
      <c r="K1418" s="164">
        <f t="shared" si="1218"/>
        <v>6666.6666666666661</v>
      </c>
      <c r="L1418" s="111"/>
      <c r="M1418" s="111"/>
      <c r="N1418" s="67"/>
      <c r="O1418" s="67"/>
      <c r="P1418" s="67"/>
      <c r="Q1418" s="67"/>
      <c r="R1418" s="67"/>
      <c r="S1418" s="67"/>
      <c r="T1418" s="67"/>
      <c r="U1418" s="67"/>
      <c r="V1418" s="67"/>
      <c r="W1418" s="67"/>
      <c r="X1418" s="67"/>
      <c r="Y1418" s="67"/>
      <c r="Z1418" s="67"/>
      <c r="AA1418" s="67"/>
      <c r="AB1418" s="67"/>
      <c r="AC1418" s="67"/>
      <c r="AD1418" s="67"/>
      <c r="AE1418" s="67"/>
      <c r="AF1418" s="67"/>
      <c r="AG1418" s="67"/>
    </row>
    <row r="1419" spans="1:33">
      <c r="A1419" s="134"/>
      <c r="B1419" s="153">
        <v>8</v>
      </c>
      <c r="C1419" s="121"/>
      <c r="D1419" s="121" t="s">
        <v>1749</v>
      </c>
      <c r="E1419" s="183">
        <v>1</v>
      </c>
      <c r="F1419" s="121">
        <v>2</v>
      </c>
      <c r="G1419" s="164">
        <f>3000/30</f>
        <v>100</v>
      </c>
      <c r="H1419" s="164">
        <f t="shared" si="1215"/>
        <v>200</v>
      </c>
      <c r="I1419" s="164">
        <f t="shared" si="1216"/>
        <v>4000</v>
      </c>
      <c r="J1419" s="164">
        <f t="shared" si="1217"/>
        <v>6000</v>
      </c>
      <c r="K1419" s="164">
        <f t="shared" si="1218"/>
        <v>8000</v>
      </c>
      <c r="L1419" s="111"/>
      <c r="M1419" s="111"/>
      <c r="N1419" s="67"/>
      <c r="O1419" s="67"/>
      <c r="P1419" s="67"/>
      <c r="Q1419" s="67"/>
      <c r="R1419" s="67"/>
      <c r="S1419" s="67"/>
      <c r="T1419" s="67"/>
      <c r="U1419" s="67"/>
      <c r="V1419" s="67"/>
      <c r="W1419" s="67"/>
      <c r="X1419" s="67"/>
      <c r="Y1419" s="67"/>
      <c r="Z1419" s="67"/>
      <c r="AA1419" s="67"/>
      <c r="AB1419" s="67"/>
      <c r="AC1419" s="67"/>
      <c r="AD1419" s="67"/>
      <c r="AE1419" s="67"/>
      <c r="AF1419" s="67"/>
      <c r="AG1419" s="67"/>
    </row>
    <row r="1420" spans="1:33">
      <c r="A1420" s="134"/>
      <c r="B1420" s="153">
        <v>9</v>
      </c>
      <c r="C1420" s="121"/>
      <c r="D1420" s="121" t="s">
        <v>1750</v>
      </c>
      <c r="E1420" s="183">
        <v>1</v>
      </c>
      <c r="F1420" s="121">
        <v>6</v>
      </c>
      <c r="G1420" s="164">
        <f>'Assumptions HR_AUN'!$F$8</f>
        <v>80.053187003968247</v>
      </c>
      <c r="H1420" s="164">
        <f t="shared" si="1215"/>
        <v>480.31912202380948</v>
      </c>
      <c r="I1420" s="164">
        <f t="shared" si="1216"/>
        <v>9606.382440476189</v>
      </c>
      <c r="J1420" s="164">
        <f t="shared" si="1217"/>
        <v>14409.573660714284</v>
      </c>
      <c r="K1420" s="164">
        <f t="shared" si="1218"/>
        <v>19212.764880952378</v>
      </c>
      <c r="L1420" s="111"/>
      <c r="M1420" s="111"/>
      <c r="N1420" s="67"/>
      <c r="O1420" s="67"/>
      <c r="P1420" s="67"/>
      <c r="Q1420" s="67"/>
      <c r="R1420" s="67"/>
      <c r="S1420" s="67"/>
      <c r="T1420" s="67"/>
      <c r="U1420" s="67"/>
      <c r="V1420" s="67"/>
      <c r="W1420" s="67"/>
      <c r="X1420" s="67"/>
      <c r="Y1420" s="67"/>
      <c r="Z1420" s="67"/>
      <c r="AA1420" s="67"/>
      <c r="AB1420" s="67"/>
      <c r="AC1420" s="67"/>
      <c r="AD1420" s="67"/>
      <c r="AE1420" s="67"/>
      <c r="AF1420" s="67"/>
      <c r="AG1420" s="67"/>
    </row>
    <row r="1421" spans="1:33">
      <c r="A1421" s="134"/>
      <c r="B1421" s="153">
        <v>10</v>
      </c>
      <c r="C1421" s="121"/>
      <c r="D1421" s="121" t="s">
        <v>1751</v>
      </c>
      <c r="E1421" s="183">
        <v>1</v>
      </c>
      <c r="F1421" s="183">
        <v>1</v>
      </c>
      <c r="G1421" s="164">
        <f>5000/30</f>
        <v>166.66666666666666</v>
      </c>
      <c r="H1421" s="164">
        <f t="shared" si="1215"/>
        <v>166.66666666666666</v>
      </c>
      <c r="I1421" s="164">
        <f t="shared" si="1216"/>
        <v>3333.333333333333</v>
      </c>
      <c r="J1421" s="164">
        <f t="shared" si="1217"/>
        <v>5000</v>
      </c>
      <c r="K1421" s="164">
        <f t="shared" si="1218"/>
        <v>6666.6666666666661</v>
      </c>
      <c r="L1421" s="111"/>
      <c r="M1421" s="111"/>
      <c r="N1421" s="67"/>
      <c r="O1421" s="67"/>
      <c r="P1421" s="67"/>
      <c r="Q1421" s="67"/>
      <c r="R1421" s="67"/>
      <c r="S1421" s="67"/>
      <c r="T1421" s="67"/>
      <c r="U1421" s="67"/>
      <c r="V1421" s="67"/>
      <c r="W1421" s="67"/>
      <c r="X1421" s="67"/>
      <c r="Y1421" s="67"/>
      <c r="Z1421" s="67"/>
      <c r="AA1421" s="67"/>
      <c r="AB1421" s="67"/>
      <c r="AC1421" s="67"/>
      <c r="AD1421" s="67"/>
      <c r="AE1421" s="67"/>
      <c r="AF1421" s="67"/>
      <c r="AG1421" s="67"/>
    </row>
    <row r="1422" spans="1:33">
      <c r="A1422" s="134"/>
      <c r="B1422" s="153">
        <v>11</v>
      </c>
      <c r="C1422" s="121"/>
      <c r="D1422" s="121" t="s">
        <v>1752</v>
      </c>
      <c r="E1422" s="183">
        <v>1</v>
      </c>
      <c r="F1422" s="183">
        <f>1/20</f>
        <v>0.05</v>
      </c>
      <c r="G1422" s="164">
        <f>'Assumptions HR_AUN'!$F$8</f>
        <v>80.053187003968247</v>
      </c>
      <c r="H1422" s="164">
        <f t="shared" si="1215"/>
        <v>4.0026593501984129</v>
      </c>
      <c r="I1422" s="164">
        <f t="shared" si="1216"/>
        <v>80.053187003968262</v>
      </c>
      <c r="J1422" s="164">
        <f t="shared" si="1217"/>
        <v>120.07978050595239</v>
      </c>
      <c r="K1422" s="164">
        <f t="shared" si="1218"/>
        <v>160.10637400793652</v>
      </c>
      <c r="L1422" s="111"/>
      <c r="M1422" s="111"/>
      <c r="N1422" s="67"/>
      <c r="O1422" s="67"/>
      <c r="P1422" s="67"/>
      <c r="Q1422" s="67"/>
      <c r="R1422" s="67"/>
      <c r="S1422" s="67"/>
      <c r="T1422" s="67"/>
      <c r="U1422" s="67"/>
      <c r="V1422" s="67"/>
      <c r="W1422" s="67"/>
      <c r="X1422" s="67"/>
      <c r="Y1422" s="67"/>
      <c r="Z1422" s="67"/>
      <c r="AA1422" s="67"/>
      <c r="AB1422" s="67"/>
      <c r="AC1422" s="67"/>
      <c r="AD1422" s="67"/>
      <c r="AE1422" s="67"/>
      <c r="AF1422" s="67"/>
      <c r="AG1422" s="67"/>
    </row>
    <row r="1423" spans="1:33">
      <c r="A1423" s="134"/>
      <c r="B1423" s="153">
        <v>12</v>
      </c>
      <c r="C1423" s="121"/>
      <c r="D1423" s="121" t="s">
        <v>1753</v>
      </c>
      <c r="E1423" s="183">
        <v>1</v>
      </c>
      <c r="F1423" s="121">
        <v>16</v>
      </c>
      <c r="G1423" s="164">
        <f>400/30</f>
        <v>13.333333333333334</v>
      </c>
      <c r="H1423" s="164">
        <f t="shared" si="1215"/>
        <v>213.33333333333334</v>
      </c>
      <c r="I1423" s="164">
        <f t="shared" si="1216"/>
        <v>4266.666666666667</v>
      </c>
      <c r="J1423" s="164">
        <f t="shared" si="1217"/>
        <v>6400</v>
      </c>
      <c r="K1423" s="164">
        <f t="shared" si="1218"/>
        <v>8533.3333333333339</v>
      </c>
      <c r="L1423" s="111"/>
      <c r="M1423" s="111"/>
      <c r="N1423" s="67"/>
      <c r="O1423" s="67"/>
      <c r="P1423" s="67"/>
      <c r="Q1423" s="67"/>
      <c r="R1423" s="67"/>
      <c r="S1423" s="67"/>
      <c r="T1423" s="67"/>
      <c r="U1423" s="67"/>
      <c r="V1423" s="67"/>
      <c r="W1423" s="67"/>
      <c r="X1423" s="67"/>
      <c r="Y1423" s="67"/>
      <c r="Z1423" s="67"/>
      <c r="AA1423" s="67"/>
      <c r="AB1423" s="67"/>
      <c r="AC1423" s="67"/>
      <c r="AD1423" s="67"/>
      <c r="AE1423" s="67"/>
      <c r="AF1423" s="67"/>
      <c r="AG1423" s="67"/>
    </row>
    <row r="1424" spans="1:33">
      <c r="A1424" s="134"/>
      <c r="B1424" s="153">
        <v>13</v>
      </c>
      <c r="C1424" s="121" t="s">
        <v>1001</v>
      </c>
      <c r="D1424" s="121"/>
      <c r="E1424" s="121"/>
      <c r="F1424" s="121"/>
      <c r="G1424" s="185">
        <f>$C$13</f>
        <v>0.1</v>
      </c>
      <c r="H1424" s="164">
        <f>SUM(H1412:H1423)*G1424</f>
        <v>4137.5174602554562</v>
      </c>
      <c r="I1424" s="164">
        <f t="shared" si="1216"/>
        <v>82750.349205109116</v>
      </c>
      <c r="J1424" s="164">
        <f t="shared" si="1217"/>
        <v>124125.52380766369</v>
      </c>
      <c r="K1424" s="164">
        <f t="shared" si="1218"/>
        <v>165500.69841021823</v>
      </c>
      <c r="L1424" s="111"/>
      <c r="M1424" s="111"/>
      <c r="N1424" s="67"/>
      <c r="O1424" s="67"/>
      <c r="P1424" s="67"/>
      <c r="Q1424" s="67"/>
      <c r="R1424" s="67"/>
      <c r="S1424" s="67"/>
      <c r="T1424" s="67"/>
      <c r="U1424" s="67"/>
      <c r="V1424" s="67"/>
      <c r="W1424" s="67"/>
      <c r="X1424" s="67"/>
      <c r="Y1424" s="67"/>
      <c r="Z1424" s="67"/>
      <c r="AA1424" s="67"/>
      <c r="AB1424" s="67"/>
      <c r="AC1424" s="67"/>
      <c r="AD1424" s="67"/>
      <c r="AE1424" s="67"/>
      <c r="AF1424" s="67"/>
      <c r="AG1424" s="67"/>
    </row>
    <row r="1425" spans="1:33">
      <c r="A1425" s="134"/>
      <c r="B1425" s="153">
        <v>14</v>
      </c>
      <c r="C1425" s="121" t="s">
        <v>962</v>
      </c>
      <c r="D1425" s="121"/>
      <c r="E1425" s="121"/>
      <c r="F1425" s="121"/>
      <c r="G1425" s="185">
        <f>$C$14</f>
        <v>0.15</v>
      </c>
      <c r="H1425" s="164">
        <f>SUM(H1412:H1423)*G1425</f>
        <v>6206.2761903831833</v>
      </c>
      <c r="I1425" s="164">
        <f t="shared" si="1216"/>
        <v>124125.52380766367</v>
      </c>
      <c r="J1425" s="164">
        <f t="shared" si="1217"/>
        <v>186188.2857114955</v>
      </c>
      <c r="K1425" s="164">
        <f t="shared" si="1218"/>
        <v>248251.04761532735</v>
      </c>
      <c r="L1425" s="67"/>
      <c r="M1425" s="67"/>
      <c r="N1425" s="67"/>
      <c r="O1425" s="67"/>
      <c r="P1425" s="67"/>
      <c r="Q1425" s="67"/>
      <c r="R1425" s="67"/>
      <c r="S1425" s="67"/>
      <c r="T1425" s="67"/>
      <c r="U1425" s="67"/>
      <c r="V1425" s="67"/>
      <c r="W1425" s="67"/>
      <c r="X1425" s="67"/>
      <c r="Y1425" s="67"/>
      <c r="Z1425" s="67"/>
      <c r="AA1425" s="67"/>
      <c r="AB1425" s="67"/>
      <c r="AC1425" s="67"/>
      <c r="AD1425" s="67"/>
      <c r="AE1425" s="67"/>
      <c r="AF1425" s="67"/>
      <c r="AG1425" s="67"/>
    </row>
    <row r="1426" spans="1:33">
      <c r="A1426" s="134"/>
      <c r="B1426" s="186" t="s">
        <v>770</v>
      </c>
      <c r="C1426" s="187"/>
      <c r="D1426" s="187"/>
      <c r="E1426" s="187"/>
      <c r="F1426" s="187"/>
      <c r="G1426" s="188"/>
      <c r="H1426" s="178">
        <f t="shared" ref="H1426:K1426" si="1219">SUM(H1412:H1425)</f>
        <v>51718.968253193198</v>
      </c>
      <c r="I1426" s="178">
        <f t="shared" si="1219"/>
        <v>1034379.365063864</v>
      </c>
      <c r="J1426" s="178">
        <f t="shared" si="1219"/>
        <v>1551569.0475957962</v>
      </c>
      <c r="K1426" s="178">
        <f t="shared" si="1219"/>
        <v>2068758.7301277281</v>
      </c>
      <c r="L1426" s="217"/>
      <c r="M1426" s="67"/>
      <c r="N1426" s="67"/>
      <c r="O1426" s="67"/>
      <c r="P1426" s="67"/>
      <c r="Q1426" s="67"/>
      <c r="R1426" s="67"/>
      <c r="S1426" s="67"/>
      <c r="T1426" s="67"/>
      <c r="U1426" s="67"/>
      <c r="V1426" s="67"/>
      <c r="W1426" s="67"/>
      <c r="X1426" s="67"/>
      <c r="Y1426" s="67"/>
      <c r="Z1426" s="67"/>
      <c r="AA1426" s="67"/>
      <c r="AB1426" s="67"/>
      <c r="AC1426" s="67"/>
      <c r="AD1426" s="67"/>
      <c r="AE1426" s="67"/>
      <c r="AF1426" s="67"/>
      <c r="AG1426" s="67"/>
    </row>
    <row r="1427" spans="1:33">
      <c r="A1427" s="9"/>
      <c r="B1427" s="67"/>
      <c r="C1427" s="67"/>
      <c r="D1427" s="67"/>
      <c r="E1427" s="67"/>
      <c r="F1427" s="67"/>
      <c r="G1427" s="67"/>
      <c r="H1427" s="67"/>
      <c r="I1427" s="67"/>
      <c r="J1427" s="67"/>
      <c r="K1427" s="67"/>
      <c r="L1427" s="217"/>
      <c r="M1427" s="67"/>
      <c r="N1427" s="67"/>
      <c r="O1427" s="67"/>
      <c r="P1427" s="67"/>
      <c r="Q1427" s="67"/>
      <c r="R1427" s="67"/>
      <c r="S1427" s="67"/>
      <c r="T1427" s="67"/>
      <c r="U1427" s="67"/>
      <c r="V1427" s="67"/>
      <c r="W1427" s="67"/>
      <c r="X1427" s="67"/>
      <c r="Y1427" s="67"/>
      <c r="Z1427" s="67"/>
      <c r="AA1427" s="67"/>
      <c r="AB1427" s="67"/>
      <c r="AC1427" s="67"/>
      <c r="AD1427" s="67"/>
      <c r="AE1427" s="67"/>
      <c r="AF1427" s="67"/>
      <c r="AG1427" s="67"/>
    </row>
    <row r="1428" spans="1:33">
      <c r="A1428" s="9"/>
      <c r="B1428" s="67"/>
      <c r="C1428" s="67"/>
      <c r="D1428" s="67"/>
      <c r="E1428" s="67"/>
      <c r="F1428" s="67"/>
      <c r="G1428" s="67"/>
      <c r="H1428" s="67"/>
      <c r="I1428" s="67"/>
      <c r="J1428" s="67"/>
      <c r="K1428" s="67"/>
      <c r="L1428" s="67"/>
      <c r="M1428" s="67"/>
      <c r="N1428" s="67"/>
      <c r="O1428" s="67"/>
      <c r="P1428" s="67"/>
      <c r="Q1428" s="67"/>
      <c r="R1428" s="67"/>
      <c r="S1428" s="67"/>
      <c r="T1428" s="67"/>
      <c r="U1428" s="67"/>
      <c r="V1428" s="67"/>
      <c r="W1428" s="67"/>
      <c r="X1428" s="67"/>
      <c r="Y1428" s="67"/>
      <c r="Z1428" s="67"/>
      <c r="AA1428" s="67"/>
      <c r="AB1428" s="67"/>
      <c r="AC1428" s="67"/>
      <c r="AD1428" s="67"/>
      <c r="AE1428" s="67"/>
      <c r="AF1428" s="67"/>
      <c r="AG1428" s="67"/>
    </row>
    <row r="1429" spans="1:33">
      <c r="A1429" s="9"/>
      <c r="B1429" s="67"/>
      <c r="C1429" s="67"/>
      <c r="D1429" s="67"/>
      <c r="E1429" s="67"/>
      <c r="F1429" s="67"/>
      <c r="G1429" s="67"/>
      <c r="H1429" s="67"/>
      <c r="I1429" s="67"/>
      <c r="J1429" s="67"/>
      <c r="K1429" s="67"/>
      <c r="L1429" s="67"/>
      <c r="M1429" s="67"/>
      <c r="N1429" s="67"/>
      <c r="O1429" s="67"/>
      <c r="P1429" s="67"/>
      <c r="Q1429" s="67"/>
      <c r="R1429" s="67"/>
      <c r="S1429" s="67"/>
      <c r="T1429" s="67"/>
      <c r="U1429" s="67"/>
      <c r="V1429" s="67"/>
      <c r="W1429" s="67"/>
      <c r="X1429" s="67"/>
      <c r="Y1429" s="67"/>
      <c r="Z1429" s="67"/>
      <c r="AA1429" s="67"/>
      <c r="AB1429" s="67"/>
      <c r="AC1429" s="67"/>
      <c r="AD1429" s="67"/>
      <c r="AE1429" s="67"/>
      <c r="AF1429" s="67"/>
      <c r="AG1429" s="67"/>
    </row>
    <row r="1430" spans="1:33">
      <c r="A1430" s="9"/>
      <c r="B1430" s="67"/>
      <c r="C1430" s="67"/>
      <c r="D1430" s="67"/>
      <c r="E1430" s="67"/>
      <c r="F1430" s="67"/>
      <c r="G1430" s="67"/>
      <c r="H1430" s="67"/>
      <c r="I1430" s="67"/>
      <c r="J1430" s="67"/>
      <c r="K1430" s="67"/>
      <c r="L1430" s="67"/>
      <c r="M1430" s="67"/>
      <c r="N1430" s="67"/>
      <c r="O1430" s="67"/>
      <c r="P1430" s="67"/>
      <c r="Q1430" s="67"/>
      <c r="R1430" s="67"/>
      <c r="S1430" s="67"/>
      <c r="T1430" s="67"/>
      <c r="U1430" s="67"/>
      <c r="V1430" s="67"/>
      <c r="W1430" s="67"/>
      <c r="X1430" s="67"/>
      <c r="Y1430" s="67"/>
      <c r="Z1430" s="67"/>
      <c r="AA1430" s="67"/>
      <c r="AB1430" s="67"/>
      <c r="AC1430" s="67"/>
      <c r="AD1430" s="67"/>
      <c r="AE1430" s="67"/>
      <c r="AF1430" s="67"/>
      <c r="AG1430" s="67"/>
    </row>
    <row r="1431" spans="1:33">
      <c r="A1431" s="741">
        <v>82</v>
      </c>
      <c r="B1431" s="726" t="s">
        <v>1754</v>
      </c>
      <c r="C1431" s="718"/>
      <c r="D1431" s="718"/>
      <c r="E1431" s="718"/>
      <c r="F1431" s="718"/>
      <c r="G1431" s="718"/>
      <c r="H1431" s="728"/>
      <c r="I1431" s="121">
        <v>322</v>
      </c>
      <c r="J1431" s="121">
        <v>250</v>
      </c>
      <c r="K1431" s="121">
        <v>179</v>
      </c>
      <c r="L1431" s="67"/>
      <c r="M1431" s="67"/>
      <c r="N1431" s="67"/>
      <c r="O1431" s="67"/>
      <c r="P1431" s="67"/>
      <c r="Q1431" s="67"/>
      <c r="R1431" s="67"/>
      <c r="S1431" s="67"/>
      <c r="T1431" s="67"/>
      <c r="U1431" s="67"/>
      <c r="V1431" s="67"/>
      <c r="W1431" s="67"/>
      <c r="X1431" s="67"/>
      <c r="Y1431" s="67"/>
      <c r="Z1431" s="67"/>
      <c r="AA1431" s="67"/>
      <c r="AB1431" s="67"/>
      <c r="AC1431" s="67"/>
      <c r="AD1431" s="67"/>
      <c r="AE1431" s="67"/>
      <c r="AF1431" s="67"/>
      <c r="AG1431" s="67"/>
    </row>
    <row r="1432" spans="1:33">
      <c r="A1432" s="134"/>
      <c r="B1432" s="143" t="s">
        <v>755</v>
      </c>
      <c r="C1432" s="143" t="s">
        <v>966</v>
      </c>
      <c r="D1432" s="143" t="s">
        <v>967</v>
      </c>
      <c r="E1432" s="143" t="s">
        <v>968</v>
      </c>
      <c r="F1432" s="143" t="s">
        <v>969</v>
      </c>
      <c r="G1432" s="143" t="s">
        <v>970</v>
      </c>
      <c r="H1432" s="143" t="s">
        <v>971</v>
      </c>
      <c r="I1432" s="113" t="s">
        <v>972</v>
      </c>
      <c r="J1432" s="113" t="s">
        <v>973</v>
      </c>
      <c r="K1432" s="113" t="s">
        <v>974</v>
      </c>
      <c r="L1432" s="67"/>
      <c r="M1432" s="67"/>
      <c r="N1432" s="67"/>
      <c r="O1432" s="67"/>
      <c r="P1432" s="67"/>
      <c r="Q1432" s="67"/>
      <c r="R1432" s="67"/>
      <c r="S1432" s="67"/>
      <c r="T1432" s="67"/>
      <c r="U1432" s="67"/>
      <c r="V1432" s="67"/>
      <c r="W1432" s="67"/>
      <c r="X1432" s="67"/>
      <c r="Y1432" s="67"/>
      <c r="Z1432" s="67"/>
      <c r="AA1432" s="67"/>
      <c r="AB1432" s="67"/>
      <c r="AC1432" s="67"/>
      <c r="AD1432" s="67"/>
      <c r="AE1432" s="67"/>
      <c r="AF1432" s="67"/>
      <c r="AG1432" s="67"/>
    </row>
    <row r="1433" spans="1:33">
      <c r="A1433" s="134"/>
      <c r="B1433" s="153">
        <v>1</v>
      </c>
      <c r="C1433" s="121" t="s">
        <v>975</v>
      </c>
      <c r="D1433" s="121" t="s">
        <v>1003</v>
      </c>
      <c r="E1433" s="173">
        <v>0.5</v>
      </c>
      <c r="F1433" s="166">
        <v>6</v>
      </c>
      <c r="G1433" s="164">
        <f>'Assumptions HR_AUN'!$F$8</f>
        <v>80.053187003968247</v>
      </c>
      <c r="H1433" s="164">
        <f t="shared" ref="H1433:H1435" si="1220">E1433*F1433*G1433</f>
        <v>240.15956101190474</v>
      </c>
      <c r="I1433" s="164">
        <f t="shared" ref="I1433:I1447" si="1221">$H1433*$I$1431</f>
        <v>77331.37864583332</v>
      </c>
      <c r="J1433" s="164">
        <f t="shared" ref="J1433:J1447" si="1222">$H1433*$J$1431</f>
        <v>60039.890252976184</v>
      </c>
      <c r="K1433" s="164">
        <f t="shared" ref="K1433:K1447" si="1223">$H1433*$K$1431</f>
        <v>42988.561421130951</v>
      </c>
      <c r="L1433" s="67"/>
      <c r="M1433" s="67"/>
      <c r="N1433" s="67"/>
      <c r="O1433" s="67"/>
      <c r="P1433" s="67"/>
      <c r="Q1433" s="67"/>
      <c r="R1433" s="67"/>
      <c r="S1433" s="67"/>
      <c r="T1433" s="67"/>
      <c r="U1433" s="67"/>
      <c r="V1433" s="67"/>
      <c r="W1433" s="67"/>
      <c r="X1433" s="67"/>
      <c r="Y1433" s="67"/>
      <c r="Z1433" s="67"/>
      <c r="AA1433" s="67"/>
      <c r="AB1433" s="67"/>
      <c r="AC1433" s="67"/>
      <c r="AD1433" s="67"/>
      <c r="AE1433" s="67"/>
      <c r="AF1433" s="67"/>
      <c r="AG1433" s="67"/>
    </row>
    <row r="1434" spans="1:33">
      <c r="A1434" s="134"/>
      <c r="B1434" s="153">
        <v>2</v>
      </c>
      <c r="C1434" s="121" t="s">
        <v>978</v>
      </c>
      <c r="D1434" s="121" t="s">
        <v>1004</v>
      </c>
      <c r="E1434" s="166">
        <v>1</v>
      </c>
      <c r="F1434" s="166">
        <v>4</v>
      </c>
      <c r="G1434" s="164">
        <f>'Assumptions HR_AUN'!$F$8</f>
        <v>80.053187003968247</v>
      </c>
      <c r="H1434" s="164">
        <f t="shared" si="1220"/>
        <v>320.21274801587299</v>
      </c>
      <c r="I1434" s="164">
        <f t="shared" si="1221"/>
        <v>103108.5048611111</v>
      </c>
      <c r="J1434" s="164">
        <f t="shared" si="1222"/>
        <v>80053.187003968254</v>
      </c>
      <c r="K1434" s="164">
        <f t="shared" si="1223"/>
        <v>57318.081894841263</v>
      </c>
      <c r="L1434" s="67"/>
      <c r="M1434" s="67"/>
      <c r="N1434" s="67"/>
      <c r="O1434" s="67"/>
      <c r="P1434" s="67"/>
      <c r="Q1434" s="67"/>
      <c r="R1434" s="67"/>
      <c r="S1434" s="67"/>
      <c r="T1434" s="67"/>
      <c r="U1434" s="67"/>
      <c r="V1434" s="67"/>
      <c r="W1434" s="67"/>
      <c r="X1434" s="67"/>
      <c r="Y1434" s="67"/>
      <c r="Z1434" s="67"/>
      <c r="AA1434" s="67"/>
      <c r="AB1434" s="67"/>
      <c r="AC1434" s="67"/>
      <c r="AD1434" s="67"/>
      <c r="AE1434" s="67"/>
      <c r="AF1434" s="67"/>
      <c r="AG1434" s="67"/>
    </row>
    <row r="1435" spans="1:33">
      <c r="A1435" s="134"/>
      <c r="B1435" s="153">
        <v>3</v>
      </c>
      <c r="C1435" s="121" t="s">
        <v>978</v>
      </c>
      <c r="D1435" s="121" t="s">
        <v>1005</v>
      </c>
      <c r="E1435" s="173">
        <v>0.2</v>
      </c>
      <c r="F1435" s="166">
        <v>24</v>
      </c>
      <c r="G1435" s="164">
        <f>'Assumptions HR_AUN'!$F$8</f>
        <v>80.053187003968247</v>
      </c>
      <c r="H1435" s="164">
        <f t="shared" si="1220"/>
        <v>384.25529761904767</v>
      </c>
      <c r="I1435" s="164">
        <f t="shared" si="1221"/>
        <v>123730.20583333336</v>
      </c>
      <c r="J1435" s="164">
        <f t="shared" si="1222"/>
        <v>96063.824404761923</v>
      </c>
      <c r="K1435" s="164">
        <f t="shared" si="1223"/>
        <v>68781.698273809539</v>
      </c>
      <c r="L1435" s="67"/>
      <c r="M1435" s="67"/>
      <c r="N1435" s="67"/>
      <c r="O1435" s="67"/>
      <c r="P1435" s="67"/>
      <c r="Q1435" s="67"/>
      <c r="R1435" s="67"/>
      <c r="S1435" s="67"/>
      <c r="T1435" s="67"/>
      <c r="U1435" s="67"/>
      <c r="V1435" s="67"/>
      <c r="W1435" s="67"/>
      <c r="X1435" s="67"/>
      <c r="Y1435" s="67"/>
      <c r="Z1435" s="67"/>
      <c r="AA1435" s="67"/>
      <c r="AB1435" s="67"/>
      <c r="AC1435" s="67"/>
      <c r="AD1435" s="67"/>
      <c r="AE1435" s="67"/>
      <c r="AF1435" s="67"/>
      <c r="AG1435" s="67"/>
    </row>
    <row r="1436" spans="1:33">
      <c r="A1436" s="134"/>
      <c r="B1436" s="153">
        <v>4</v>
      </c>
      <c r="C1436" s="121" t="s">
        <v>978</v>
      </c>
      <c r="D1436" s="121" t="s">
        <v>1006</v>
      </c>
      <c r="E1436" s="173"/>
      <c r="F1436" s="166">
        <v>0.5</v>
      </c>
      <c r="G1436" s="164">
        <f>$D$24</f>
        <v>434</v>
      </c>
      <c r="H1436" s="164">
        <f>F1436*G1436</f>
        <v>217</v>
      </c>
      <c r="I1436" s="164">
        <f t="shared" si="1221"/>
        <v>69874</v>
      </c>
      <c r="J1436" s="164">
        <f t="shared" si="1222"/>
        <v>54250</v>
      </c>
      <c r="K1436" s="164">
        <f t="shared" si="1223"/>
        <v>38843</v>
      </c>
      <c r="L1436" s="67"/>
      <c r="M1436" s="67"/>
      <c r="N1436" s="67"/>
      <c r="O1436" s="67"/>
      <c r="P1436" s="67"/>
      <c r="Q1436" s="67"/>
      <c r="R1436" s="67"/>
      <c r="S1436" s="67"/>
      <c r="T1436" s="67"/>
      <c r="U1436" s="67"/>
      <c r="V1436" s="67"/>
      <c r="W1436" s="67"/>
      <c r="X1436" s="67"/>
      <c r="Y1436" s="67"/>
      <c r="Z1436" s="67"/>
      <c r="AA1436" s="67"/>
      <c r="AB1436" s="67"/>
      <c r="AC1436" s="67"/>
      <c r="AD1436" s="67"/>
      <c r="AE1436" s="67"/>
      <c r="AF1436" s="67"/>
      <c r="AG1436" s="67"/>
    </row>
    <row r="1437" spans="1:33">
      <c r="A1437" s="134"/>
      <c r="B1437" s="153">
        <v>5</v>
      </c>
      <c r="C1437" s="121" t="s">
        <v>978</v>
      </c>
      <c r="D1437" s="121" t="s">
        <v>1755</v>
      </c>
      <c r="E1437" s="173">
        <v>0.2</v>
      </c>
      <c r="F1437" s="166">
        <v>24</v>
      </c>
      <c r="G1437" s="164">
        <f>'Assumptions HR_AUN'!$F$8</f>
        <v>80.053187003968247</v>
      </c>
      <c r="H1437" s="164">
        <f t="shared" ref="H1437:H1438" si="1224">E1437*F1437*G1437</f>
        <v>384.25529761904767</v>
      </c>
      <c r="I1437" s="164">
        <f t="shared" si="1221"/>
        <v>123730.20583333336</v>
      </c>
      <c r="J1437" s="164">
        <f t="shared" si="1222"/>
        <v>96063.824404761923</v>
      </c>
      <c r="K1437" s="164">
        <f t="shared" si="1223"/>
        <v>68781.698273809539</v>
      </c>
      <c r="L1437" s="67"/>
      <c r="M1437" s="67"/>
      <c r="N1437" s="67"/>
      <c r="O1437" s="67"/>
      <c r="P1437" s="67"/>
      <c r="Q1437" s="67"/>
      <c r="R1437" s="67"/>
      <c r="S1437" s="67"/>
      <c r="T1437" s="67"/>
      <c r="U1437" s="67"/>
      <c r="V1437" s="67"/>
      <c r="W1437" s="67"/>
      <c r="X1437" s="67"/>
      <c r="Y1437" s="67"/>
      <c r="Z1437" s="67"/>
      <c r="AA1437" s="67"/>
      <c r="AB1437" s="67"/>
      <c r="AC1437" s="67"/>
      <c r="AD1437" s="67"/>
      <c r="AE1437" s="67"/>
      <c r="AF1437" s="67"/>
      <c r="AG1437" s="67"/>
    </row>
    <row r="1438" spans="1:33">
      <c r="A1438" s="134"/>
      <c r="B1438" s="153">
        <v>6</v>
      </c>
      <c r="C1438" s="121" t="s">
        <v>978</v>
      </c>
      <c r="D1438" s="121" t="s">
        <v>1756</v>
      </c>
      <c r="E1438" s="166">
        <v>2</v>
      </c>
      <c r="F1438" s="165">
        <v>0.5</v>
      </c>
      <c r="G1438" s="164">
        <f>'Assumptions HR_AUN'!$F$6</f>
        <v>182.10571428571424</v>
      </c>
      <c r="H1438" s="164">
        <f t="shared" si="1224"/>
        <v>182.10571428571424</v>
      </c>
      <c r="I1438" s="164">
        <f t="shared" si="1221"/>
        <v>58638.039999999986</v>
      </c>
      <c r="J1438" s="164">
        <f t="shared" si="1222"/>
        <v>45526.428571428558</v>
      </c>
      <c r="K1438" s="164">
        <f t="shared" si="1223"/>
        <v>32596.92285714285</v>
      </c>
      <c r="L1438" s="67"/>
      <c r="M1438" s="67"/>
      <c r="N1438" s="67"/>
      <c r="O1438" s="67"/>
      <c r="P1438" s="67"/>
      <c r="Q1438" s="67"/>
      <c r="R1438" s="67"/>
      <c r="S1438" s="67"/>
      <c r="T1438" s="67"/>
      <c r="U1438" s="67"/>
      <c r="V1438" s="67"/>
      <c r="W1438" s="67"/>
      <c r="X1438" s="67"/>
      <c r="Y1438" s="67"/>
      <c r="Z1438" s="67"/>
      <c r="AA1438" s="67"/>
      <c r="AB1438" s="67"/>
      <c r="AC1438" s="67"/>
      <c r="AD1438" s="67"/>
      <c r="AE1438" s="67"/>
      <c r="AF1438" s="67"/>
      <c r="AG1438" s="67"/>
    </row>
    <row r="1439" spans="1:33">
      <c r="A1439" s="134"/>
      <c r="B1439" s="153">
        <v>7</v>
      </c>
      <c r="C1439" s="121" t="s">
        <v>978</v>
      </c>
      <c r="D1439" s="121" t="s">
        <v>1009</v>
      </c>
      <c r="E1439" s="173"/>
      <c r="F1439" s="166">
        <f>180*0.3</f>
        <v>54</v>
      </c>
      <c r="G1439" s="164">
        <f>'Assumptions Other_AUN'!$D$30</f>
        <v>20</v>
      </c>
      <c r="H1439" s="164">
        <f t="shared" ref="H1439:H1440" si="1225">F1439*G1439</f>
        <v>1080</v>
      </c>
      <c r="I1439" s="164">
        <f t="shared" si="1221"/>
        <v>347760</v>
      </c>
      <c r="J1439" s="164">
        <f t="shared" si="1222"/>
        <v>270000</v>
      </c>
      <c r="K1439" s="164">
        <f t="shared" si="1223"/>
        <v>193320</v>
      </c>
      <c r="L1439" s="67"/>
      <c r="M1439" s="67"/>
      <c r="N1439" s="67"/>
      <c r="O1439" s="67"/>
      <c r="P1439" s="67"/>
      <c r="Q1439" s="67"/>
      <c r="R1439" s="67"/>
      <c r="S1439" s="67"/>
      <c r="T1439" s="67"/>
      <c r="U1439" s="67"/>
      <c r="V1439" s="67"/>
      <c r="W1439" s="67"/>
      <c r="X1439" s="67"/>
      <c r="Y1439" s="67"/>
      <c r="Z1439" s="67"/>
      <c r="AA1439" s="67"/>
      <c r="AB1439" s="67"/>
      <c r="AC1439" s="67"/>
      <c r="AD1439" s="67"/>
      <c r="AE1439" s="67"/>
      <c r="AF1439" s="67"/>
      <c r="AG1439" s="67"/>
    </row>
    <row r="1440" spans="1:33">
      <c r="A1440" s="134"/>
      <c r="B1440" s="153">
        <v>8</v>
      </c>
      <c r="C1440" s="121" t="s">
        <v>978</v>
      </c>
      <c r="D1440" s="121" t="s">
        <v>1010</v>
      </c>
      <c r="E1440" s="173"/>
      <c r="F1440" s="166">
        <v>33</v>
      </c>
      <c r="G1440" s="164">
        <f>'Assumptions Other_AUN'!$D$30</f>
        <v>20</v>
      </c>
      <c r="H1440" s="164">
        <f t="shared" si="1225"/>
        <v>660</v>
      </c>
      <c r="I1440" s="164">
        <f t="shared" si="1221"/>
        <v>212520</v>
      </c>
      <c r="J1440" s="164">
        <f t="shared" si="1222"/>
        <v>165000</v>
      </c>
      <c r="K1440" s="164">
        <f t="shared" si="1223"/>
        <v>118140</v>
      </c>
      <c r="L1440" s="67"/>
      <c r="M1440" s="67"/>
      <c r="N1440" s="67"/>
      <c r="O1440" s="67"/>
      <c r="P1440" s="67"/>
      <c r="Q1440" s="67"/>
      <c r="R1440" s="67"/>
      <c r="S1440" s="67"/>
      <c r="T1440" s="67"/>
      <c r="U1440" s="67"/>
      <c r="V1440" s="67"/>
      <c r="W1440" s="67"/>
      <c r="X1440" s="67"/>
      <c r="Y1440" s="67"/>
      <c r="Z1440" s="67"/>
      <c r="AA1440" s="67"/>
      <c r="AB1440" s="67"/>
      <c r="AC1440" s="67"/>
      <c r="AD1440" s="67"/>
      <c r="AE1440" s="67"/>
      <c r="AF1440" s="67"/>
      <c r="AG1440" s="67"/>
    </row>
    <row r="1441" spans="1:33">
      <c r="A1441" s="134"/>
      <c r="B1441" s="153">
        <v>9</v>
      </c>
      <c r="C1441" s="121" t="s">
        <v>1011</v>
      </c>
      <c r="D1441" s="121" t="s">
        <v>1012</v>
      </c>
      <c r="E1441" s="173">
        <v>2</v>
      </c>
      <c r="F1441" s="166">
        <v>4</v>
      </c>
      <c r="G1441" s="164">
        <f>'Assumptions HR_AUN'!$F$8</f>
        <v>80.053187003968247</v>
      </c>
      <c r="H1441" s="164">
        <f>E1441*F1441*G1441</f>
        <v>640.42549603174598</v>
      </c>
      <c r="I1441" s="164">
        <f t="shared" si="1221"/>
        <v>206217.0097222222</v>
      </c>
      <c r="J1441" s="164">
        <f t="shared" si="1222"/>
        <v>160106.37400793651</v>
      </c>
      <c r="K1441" s="164">
        <f t="shared" si="1223"/>
        <v>114636.16378968253</v>
      </c>
      <c r="L1441" s="67"/>
      <c r="M1441" s="67"/>
      <c r="N1441" s="67"/>
      <c r="O1441" s="67"/>
      <c r="P1441" s="67"/>
      <c r="Q1441" s="67"/>
      <c r="R1441" s="67"/>
      <c r="S1441" s="67"/>
      <c r="T1441" s="67"/>
      <c r="U1441" s="67"/>
      <c r="V1441" s="67"/>
      <c r="W1441" s="67"/>
      <c r="X1441" s="67"/>
      <c r="Y1441" s="67"/>
      <c r="Z1441" s="67"/>
      <c r="AA1441" s="67"/>
      <c r="AB1441" s="67"/>
      <c r="AC1441" s="67"/>
      <c r="AD1441" s="67"/>
      <c r="AE1441" s="67"/>
      <c r="AF1441" s="67"/>
      <c r="AG1441" s="67"/>
    </row>
    <row r="1442" spans="1:33">
      <c r="A1442" s="134"/>
      <c r="B1442" s="153">
        <v>10</v>
      </c>
      <c r="C1442" s="121" t="s">
        <v>1011</v>
      </c>
      <c r="D1442" s="121" t="s">
        <v>1757</v>
      </c>
      <c r="E1442" s="166"/>
      <c r="F1442" s="166">
        <v>0.3</v>
      </c>
      <c r="G1442" s="164">
        <f>$D$23</f>
        <v>1025</v>
      </c>
      <c r="H1442" s="164">
        <f t="shared" ref="H1442:H1444" si="1226">F1442*G1442</f>
        <v>307.5</v>
      </c>
      <c r="I1442" s="164">
        <f t="shared" si="1221"/>
        <v>99015</v>
      </c>
      <c r="J1442" s="164">
        <f t="shared" si="1222"/>
        <v>76875</v>
      </c>
      <c r="K1442" s="164">
        <f t="shared" si="1223"/>
        <v>55042.5</v>
      </c>
      <c r="L1442" s="67"/>
      <c r="M1442" s="67"/>
      <c r="N1442" s="67"/>
      <c r="O1442" s="67"/>
      <c r="P1442" s="67"/>
      <c r="Q1442" s="67"/>
      <c r="R1442" s="67"/>
      <c r="S1442" s="67"/>
      <c r="T1442" s="67"/>
      <c r="U1442" s="67"/>
      <c r="V1442" s="67"/>
      <c r="W1442" s="67"/>
      <c r="X1442" s="67"/>
      <c r="Y1442" s="67"/>
      <c r="Z1442" s="67"/>
      <c r="AA1442" s="67"/>
      <c r="AB1442" s="67"/>
      <c r="AC1442" s="67"/>
      <c r="AD1442" s="67"/>
      <c r="AE1442" s="67"/>
      <c r="AF1442" s="67"/>
      <c r="AG1442" s="67"/>
    </row>
    <row r="1443" spans="1:33">
      <c r="A1443" s="134"/>
      <c r="B1443" s="153">
        <v>11</v>
      </c>
      <c r="C1443" s="121" t="s">
        <v>987</v>
      </c>
      <c r="D1443" s="121" t="s">
        <v>898</v>
      </c>
      <c r="E1443" s="173"/>
      <c r="F1443" s="166">
        <f>4*0.8</f>
        <v>3.2</v>
      </c>
      <c r="G1443" s="164">
        <f>$D$19</f>
        <v>244</v>
      </c>
      <c r="H1443" s="164">
        <f t="shared" si="1226"/>
        <v>780.80000000000007</v>
      </c>
      <c r="I1443" s="164">
        <f t="shared" si="1221"/>
        <v>251417.60000000003</v>
      </c>
      <c r="J1443" s="164">
        <f t="shared" si="1222"/>
        <v>195200.00000000003</v>
      </c>
      <c r="K1443" s="164">
        <f t="shared" si="1223"/>
        <v>139763.20000000001</v>
      </c>
      <c r="L1443" s="67"/>
      <c r="M1443" s="67"/>
      <c r="N1443" s="67"/>
      <c r="O1443" s="67"/>
      <c r="P1443" s="67"/>
      <c r="Q1443" s="67"/>
      <c r="R1443" s="67"/>
      <c r="S1443" s="67"/>
      <c r="T1443" s="67"/>
      <c r="U1443" s="67"/>
      <c r="V1443" s="67"/>
      <c r="W1443" s="67"/>
      <c r="X1443" s="67"/>
      <c r="Y1443" s="67"/>
      <c r="Z1443" s="67"/>
      <c r="AA1443" s="67"/>
      <c r="AB1443" s="67"/>
      <c r="AC1443" s="67"/>
      <c r="AD1443" s="67"/>
      <c r="AE1443" s="67"/>
      <c r="AF1443" s="67"/>
      <c r="AG1443" s="67"/>
    </row>
    <row r="1444" spans="1:33">
      <c r="A1444" s="134"/>
      <c r="B1444" s="153">
        <v>12</v>
      </c>
      <c r="C1444" s="121" t="s">
        <v>987</v>
      </c>
      <c r="D1444" s="121" t="s">
        <v>900</v>
      </c>
      <c r="E1444" s="166"/>
      <c r="F1444" s="166">
        <v>0.8</v>
      </c>
      <c r="G1444" s="164">
        <f>$D$21</f>
        <v>77</v>
      </c>
      <c r="H1444" s="164">
        <f t="shared" si="1226"/>
        <v>61.6</v>
      </c>
      <c r="I1444" s="164">
        <f t="shared" si="1221"/>
        <v>19835.2</v>
      </c>
      <c r="J1444" s="164">
        <f t="shared" si="1222"/>
        <v>15400</v>
      </c>
      <c r="K1444" s="164">
        <f t="shared" si="1223"/>
        <v>11026.4</v>
      </c>
      <c r="L1444" s="67"/>
      <c r="M1444" s="67"/>
      <c r="N1444" s="67"/>
      <c r="O1444" s="67"/>
      <c r="P1444" s="67"/>
      <c r="Q1444" s="67"/>
      <c r="R1444" s="67"/>
      <c r="S1444" s="67"/>
      <c r="T1444" s="67"/>
      <c r="U1444" s="67"/>
      <c r="V1444" s="67"/>
      <c r="W1444" s="67"/>
      <c r="X1444" s="67"/>
      <c r="Y1444" s="67"/>
      <c r="Z1444" s="67"/>
      <c r="AA1444" s="67"/>
      <c r="AB1444" s="67"/>
      <c r="AC1444" s="67"/>
      <c r="AD1444" s="67"/>
      <c r="AE1444" s="67"/>
      <c r="AF1444" s="67"/>
      <c r="AG1444" s="67"/>
    </row>
    <row r="1445" spans="1:33">
      <c r="A1445" s="134"/>
      <c r="B1445" s="153">
        <v>13</v>
      </c>
      <c r="C1445" s="121" t="s">
        <v>992</v>
      </c>
      <c r="D1445" s="121"/>
      <c r="E1445" s="173">
        <v>0.45</v>
      </c>
      <c r="F1445" s="166">
        <v>4</v>
      </c>
      <c r="G1445" s="164">
        <f>'Assumptions HR_AUN'!$F$8</f>
        <v>80.053187003968247</v>
      </c>
      <c r="H1445" s="164">
        <f>E1445*F1445*G1445</f>
        <v>144.09573660714284</v>
      </c>
      <c r="I1445" s="164">
        <f t="shared" si="1221"/>
        <v>46398.827187499992</v>
      </c>
      <c r="J1445" s="164">
        <f t="shared" si="1222"/>
        <v>36023.93415178571</v>
      </c>
      <c r="K1445" s="164">
        <f t="shared" si="1223"/>
        <v>25793.13685267857</v>
      </c>
      <c r="L1445" s="67"/>
      <c r="M1445" s="67"/>
      <c r="N1445" s="67"/>
      <c r="O1445" s="67"/>
      <c r="P1445" s="67"/>
      <c r="Q1445" s="67"/>
      <c r="R1445" s="67"/>
      <c r="S1445" s="67"/>
      <c r="T1445" s="67"/>
      <c r="U1445" s="67"/>
      <c r="V1445" s="67"/>
      <c r="W1445" s="67"/>
      <c r="X1445" s="67"/>
      <c r="Y1445" s="67"/>
      <c r="Z1445" s="67"/>
      <c r="AA1445" s="67"/>
      <c r="AB1445" s="67"/>
      <c r="AC1445" s="67"/>
      <c r="AD1445" s="67"/>
      <c r="AE1445" s="67"/>
      <c r="AF1445" s="67"/>
      <c r="AG1445" s="67"/>
    </row>
    <row r="1446" spans="1:33">
      <c r="A1446" s="134"/>
      <c r="B1446" s="153">
        <v>14</v>
      </c>
      <c r="C1446" s="121" t="s">
        <v>1001</v>
      </c>
      <c r="D1446" s="195"/>
      <c r="E1446" s="166"/>
      <c r="F1446" s="166"/>
      <c r="G1446" s="164"/>
      <c r="H1446" s="164">
        <f>SUM(H1433:H1444)*10%</f>
        <v>525.83141145833338</v>
      </c>
      <c r="I1446" s="164">
        <f t="shared" si="1221"/>
        <v>169317.71448958333</v>
      </c>
      <c r="J1446" s="164">
        <f t="shared" si="1222"/>
        <v>131457.85286458334</v>
      </c>
      <c r="K1446" s="164">
        <f t="shared" si="1223"/>
        <v>94123.822651041672</v>
      </c>
      <c r="L1446" s="67"/>
      <c r="M1446" s="67"/>
      <c r="N1446" s="67"/>
      <c r="O1446" s="67"/>
      <c r="P1446" s="67"/>
      <c r="Q1446" s="67"/>
      <c r="R1446" s="67"/>
      <c r="S1446" s="67"/>
      <c r="T1446" s="67"/>
      <c r="U1446" s="67"/>
      <c r="V1446" s="67"/>
      <c r="W1446" s="67"/>
      <c r="X1446" s="67"/>
      <c r="Y1446" s="67"/>
      <c r="Z1446" s="67"/>
      <c r="AA1446" s="67"/>
      <c r="AB1446" s="67"/>
      <c r="AC1446" s="67"/>
      <c r="AD1446" s="67"/>
      <c r="AE1446" s="67"/>
      <c r="AF1446" s="67"/>
      <c r="AG1446" s="67"/>
    </row>
    <row r="1447" spans="1:33">
      <c r="A1447" s="134"/>
      <c r="B1447" s="153">
        <v>15</v>
      </c>
      <c r="C1447" s="121" t="s">
        <v>962</v>
      </c>
      <c r="D1447" s="195"/>
      <c r="E1447" s="121"/>
      <c r="F1447" s="241"/>
      <c r="G1447" s="164"/>
      <c r="H1447" s="164">
        <f>SUM(H1433:H1444)*15%</f>
        <v>788.74711718749995</v>
      </c>
      <c r="I1447" s="164">
        <f t="shared" si="1221"/>
        <v>253976.57173437497</v>
      </c>
      <c r="J1447" s="164">
        <f t="shared" si="1222"/>
        <v>197186.779296875</v>
      </c>
      <c r="K1447" s="164">
        <f t="shared" si="1223"/>
        <v>141185.73397656248</v>
      </c>
      <c r="L1447" s="67"/>
      <c r="M1447" s="67"/>
      <c r="N1447" s="67"/>
      <c r="O1447" s="67"/>
      <c r="P1447" s="67"/>
      <c r="Q1447" s="67"/>
      <c r="R1447" s="67"/>
      <c r="S1447" s="67"/>
      <c r="T1447" s="67"/>
      <c r="U1447" s="67"/>
      <c r="V1447" s="67"/>
      <c r="W1447" s="67"/>
      <c r="X1447" s="67"/>
      <c r="Y1447" s="67"/>
      <c r="Z1447" s="67"/>
      <c r="AA1447" s="67"/>
      <c r="AB1447" s="67"/>
      <c r="AC1447" s="67"/>
      <c r="AD1447" s="67"/>
      <c r="AE1447" s="67"/>
      <c r="AF1447" s="67"/>
      <c r="AG1447" s="67"/>
    </row>
    <row r="1448" spans="1:33">
      <c r="A1448" s="134"/>
      <c r="B1448" s="186" t="s">
        <v>770</v>
      </c>
      <c r="C1448" s="187"/>
      <c r="D1448" s="198"/>
      <c r="E1448" s="187"/>
      <c r="F1448" s="199"/>
      <c r="G1448" s="188"/>
      <c r="H1448" s="178">
        <f t="shared" ref="H1448:K1448" si="1227">SUM(H1433:H1447)</f>
        <v>6716.9883798363098</v>
      </c>
      <c r="I1448" s="178">
        <f t="shared" si="1227"/>
        <v>2162870.2583072917</v>
      </c>
      <c r="J1448" s="178">
        <f t="shared" si="1227"/>
        <v>1679247.0949590774</v>
      </c>
      <c r="K1448" s="178">
        <f t="shared" si="1227"/>
        <v>1202340.9199906997</v>
      </c>
      <c r="L1448" s="217"/>
      <c r="M1448" s="67"/>
      <c r="N1448" s="67"/>
      <c r="O1448" s="67"/>
      <c r="P1448" s="67"/>
      <c r="Q1448" s="67"/>
      <c r="R1448" s="67"/>
      <c r="S1448" s="67"/>
      <c r="T1448" s="67"/>
      <c r="U1448" s="67"/>
      <c r="V1448" s="67"/>
      <c r="W1448" s="67"/>
      <c r="X1448" s="67"/>
      <c r="Y1448" s="67"/>
      <c r="Z1448" s="67"/>
      <c r="AA1448" s="67"/>
      <c r="AB1448" s="67"/>
      <c r="AC1448" s="67"/>
      <c r="AD1448" s="67"/>
      <c r="AE1448" s="67"/>
      <c r="AF1448" s="67"/>
      <c r="AG1448" s="67"/>
    </row>
    <row r="1449" spans="1:33">
      <c r="A1449" s="9"/>
      <c r="B1449" s="67"/>
      <c r="C1449" s="67"/>
      <c r="D1449" s="67"/>
      <c r="E1449" s="67"/>
      <c r="F1449" s="67"/>
      <c r="G1449" s="67"/>
      <c r="H1449" s="67"/>
      <c r="I1449" s="67"/>
      <c r="J1449" s="67"/>
      <c r="K1449" s="67"/>
      <c r="L1449" s="217"/>
      <c r="M1449" s="67"/>
      <c r="N1449" s="67"/>
      <c r="O1449" s="67"/>
      <c r="P1449" s="67"/>
      <c r="Q1449" s="67"/>
      <c r="R1449" s="67"/>
      <c r="S1449" s="67"/>
      <c r="T1449" s="67"/>
      <c r="U1449" s="67"/>
      <c r="V1449" s="67"/>
      <c r="W1449" s="67"/>
      <c r="X1449" s="67"/>
      <c r="Y1449" s="67"/>
      <c r="Z1449" s="67"/>
      <c r="AA1449" s="67"/>
      <c r="AB1449" s="67"/>
      <c r="AC1449" s="67"/>
      <c r="AD1449" s="67"/>
      <c r="AE1449" s="67"/>
      <c r="AF1449" s="67"/>
      <c r="AG1449" s="67"/>
    </row>
    <row r="1450" spans="1:33">
      <c r="A1450" s="9"/>
      <c r="B1450" s="67"/>
      <c r="C1450" s="67"/>
      <c r="D1450" s="67"/>
      <c r="E1450" s="67"/>
      <c r="F1450" s="67"/>
      <c r="G1450" s="67"/>
      <c r="H1450" s="67"/>
      <c r="I1450" s="67"/>
      <c r="J1450" s="67"/>
      <c r="K1450" s="67"/>
      <c r="L1450" s="67"/>
      <c r="M1450" s="67"/>
      <c r="N1450" s="67"/>
      <c r="O1450" s="67"/>
      <c r="P1450" s="67"/>
      <c r="Q1450" s="67"/>
      <c r="R1450" s="67"/>
      <c r="S1450" s="67"/>
      <c r="T1450" s="67"/>
      <c r="U1450" s="67"/>
      <c r="V1450" s="67"/>
      <c r="W1450" s="67"/>
      <c r="X1450" s="67"/>
      <c r="Y1450" s="67"/>
      <c r="Z1450" s="67"/>
      <c r="AA1450" s="67"/>
      <c r="AB1450" s="67"/>
      <c r="AC1450" s="67"/>
      <c r="AD1450" s="67"/>
      <c r="AE1450" s="67"/>
      <c r="AF1450" s="67"/>
      <c r="AG1450" s="67"/>
    </row>
    <row r="1451" spans="1:33">
      <c r="A1451" s="328" t="s">
        <v>207</v>
      </c>
      <c r="B1451" s="329" t="s">
        <v>755</v>
      </c>
      <c r="C1451" s="230" t="s">
        <v>1304</v>
      </c>
      <c r="D1451" s="230" t="s">
        <v>1305</v>
      </c>
      <c r="E1451" s="230" t="s">
        <v>697</v>
      </c>
      <c r="F1451" s="230" t="s">
        <v>1476</v>
      </c>
      <c r="G1451" s="230" t="s">
        <v>1477</v>
      </c>
      <c r="H1451" s="230">
        <v>2023</v>
      </c>
      <c r="I1451" s="67"/>
      <c r="J1451" s="67"/>
      <c r="K1451" s="67"/>
      <c r="L1451" s="67"/>
      <c r="M1451" s="67"/>
      <c r="N1451" s="67"/>
      <c r="O1451" s="67"/>
      <c r="P1451" s="67"/>
      <c r="Q1451" s="67"/>
      <c r="R1451" s="67"/>
      <c r="S1451" s="67"/>
      <c r="T1451" s="67"/>
      <c r="U1451" s="67"/>
      <c r="V1451" s="67"/>
      <c r="W1451" s="67"/>
      <c r="X1451" s="67"/>
      <c r="Y1451" s="67"/>
      <c r="Z1451" s="67"/>
      <c r="AA1451" s="67"/>
      <c r="AB1451" s="67"/>
      <c r="AC1451" s="67"/>
      <c r="AD1451" s="67"/>
      <c r="AE1451" s="67"/>
      <c r="AF1451" s="67"/>
      <c r="AG1451" s="67"/>
    </row>
    <row r="1452" spans="1:33">
      <c r="A1452" s="328"/>
      <c r="B1452" s="302">
        <v>1</v>
      </c>
      <c r="C1452" s="302"/>
      <c r="D1452" s="227" t="s">
        <v>1758</v>
      </c>
      <c r="E1452" s="302" t="s">
        <v>764</v>
      </c>
      <c r="F1452" s="231"/>
      <c r="G1452" s="231"/>
      <c r="H1452" s="231">
        <v>1206480</v>
      </c>
      <c r="I1452" s="67"/>
      <c r="J1452" s="67"/>
      <c r="K1452" s="67"/>
      <c r="L1452" s="67"/>
      <c r="M1452" s="67"/>
      <c r="N1452" s="67"/>
      <c r="O1452" s="67"/>
      <c r="P1452" s="67"/>
      <c r="Q1452" s="67"/>
      <c r="R1452" s="67"/>
      <c r="S1452" s="67"/>
      <c r="T1452" s="67"/>
      <c r="U1452" s="67"/>
      <c r="V1452" s="67"/>
      <c r="W1452" s="67"/>
      <c r="X1452" s="67"/>
      <c r="Y1452" s="67"/>
      <c r="Z1452" s="67"/>
      <c r="AA1452" s="67"/>
      <c r="AB1452" s="67"/>
      <c r="AC1452" s="67"/>
      <c r="AD1452" s="67"/>
      <c r="AE1452" s="67"/>
      <c r="AF1452" s="67"/>
      <c r="AG1452" s="67"/>
    </row>
    <row r="1453" spans="1:33">
      <c r="A1453" s="328"/>
      <c r="B1453" s="302">
        <v>2</v>
      </c>
      <c r="C1453" s="227"/>
      <c r="D1453" s="227" t="s">
        <v>1759</v>
      </c>
      <c r="E1453" s="302" t="s">
        <v>764</v>
      </c>
      <c r="F1453" s="231"/>
      <c r="G1453" s="231"/>
      <c r="H1453" s="231">
        <v>701952</v>
      </c>
      <c r="I1453" s="67"/>
      <c r="J1453" s="67"/>
      <c r="K1453" s="67"/>
      <c r="L1453" s="67"/>
      <c r="M1453" s="67"/>
      <c r="N1453" s="67"/>
      <c r="O1453" s="67"/>
      <c r="P1453" s="67"/>
      <c r="Q1453" s="67"/>
      <c r="R1453" s="67"/>
      <c r="S1453" s="67"/>
      <c r="T1453" s="67"/>
      <c r="U1453" s="67"/>
      <c r="V1453" s="67"/>
      <c r="W1453" s="67"/>
      <c r="X1453" s="67"/>
      <c r="Y1453" s="67"/>
      <c r="Z1453" s="67"/>
      <c r="AA1453" s="67"/>
      <c r="AB1453" s="67"/>
      <c r="AC1453" s="67"/>
      <c r="AD1453" s="67"/>
      <c r="AE1453" s="67"/>
      <c r="AF1453" s="67"/>
      <c r="AG1453" s="67"/>
    </row>
    <row r="1454" spans="1:33">
      <c r="A1454" s="328"/>
      <c r="B1454" s="302">
        <v>3</v>
      </c>
      <c r="C1454" s="227"/>
      <c r="D1454" s="227" t="s">
        <v>1760</v>
      </c>
      <c r="E1454" s="302" t="s">
        <v>764</v>
      </c>
      <c r="F1454" s="231"/>
      <c r="G1454" s="231"/>
      <c r="H1454" s="231">
        <v>127960</v>
      </c>
      <c r="I1454" s="67"/>
      <c r="J1454" s="67"/>
      <c r="K1454" s="67"/>
      <c r="L1454" s="67"/>
      <c r="M1454" s="67"/>
      <c r="N1454" s="67"/>
      <c r="O1454" s="67"/>
      <c r="P1454" s="67"/>
      <c r="Q1454" s="67"/>
      <c r="R1454" s="67"/>
      <c r="S1454" s="67"/>
      <c r="T1454" s="67"/>
      <c r="U1454" s="67"/>
      <c r="V1454" s="67"/>
      <c r="W1454" s="67"/>
      <c r="X1454" s="67"/>
      <c r="Y1454" s="67"/>
      <c r="Z1454" s="67"/>
      <c r="AA1454" s="67"/>
      <c r="AB1454" s="67"/>
      <c r="AC1454" s="67"/>
      <c r="AD1454" s="67"/>
      <c r="AE1454" s="67"/>
      <c r="AF1454" s="67"/>
      <c r="AG1454" s="67"/>
    </row>
    <row r="1455" spans="1:33">
      <c r="A1455" s="328"/>
      <c r="B1455" s="302">
        <v>4</v>
      </c>
      <c r="C1455" s="227"/>
      <c r="D1455" s="227" t="s">
        <v>1761</v>
      </c>
      <c r="E1455" s="302" t="s">
        <v>949</v>
      </c>
      <c r="F1455" s="231"/>
      <c r="G1455" s="231"/>
      <c r="H1455" s="231">
        <v>10968</v>
      </c>
      <c r="I1455" s="67"/>
      <c r="J1455" s="67"/>
      <c r="K1455" s="67"/>
      <c r="L1455" s="67"/>
      <c r="M1455" s="67"/>
      <c r="N1455" s="67"/>
      <c r="O1455" s="67"/>
      <c r="P1455" s="67"/>
      <c r="Q1455" s="67"/>
      <c r="R1455" s="67"/>
      <c r="S1455" s="67"/>
      <c r="T1455" s="67"/>
      <c r="U1455" s="67"/>
      <c r="V1455" s="67"/>
      <c r="W1455" s="67"/>
      <c r="X1455" s="67"/>
      <c r="Y1455" s="67"/>
      <c r="Z1455" s="67"/>
      <c r="AA1455" s="67"/>
      <c r="AB1455" s="67"/>
      <c r="AC1455" s="67"/>
      <c r="AD1455" s="67"/>
      <c r="AE1455" s="67"/>
      <c r="AF1455" s="67"/>
      <c r="AG1455" s="67"/>
    </row>
    <row r="1456" spans="1:33">
      <c r="A1456" s="328"/>
      <c r="B1456" s="302">
        <v>5</v>
      </c>
      <c r="C1456" s="227" t="s">
        <v>1001</v>
      </c>
      <c r="D1456" s="227"/>
      <c r="E1456" s="302"/>
      <c r="F1456" s="231"/>
      <c r="G1456" s="231"/>
      <c r="H1456" s="231">
        <v>409472</v>
      </c>
      <c r="I1456" s="67"/>
      <c r="J1456" s="67"/>
      <c r="K1456" s="67"/>
      <c r="L1456" s="67"/>
      <c r="M1456" s="67"/>
      <c r="N1456" s="67"/>
      <c r="O1456" s="67"/>
      <c r="P1456" s="67"/>
      <c r="Q1456" s="67"/>
      <c r="R1456" s="67"/>
      <c r="S1456" s="67"/>
      <c r="T1456" s="67"/>
      <c r="U1456" s="67"/>
      <c r="V1456" s="67"/>
      <c r="W1456" s="67"/>
      <c r="X1456" s="67"/>
      <c r="Y1456" s="67"/>
      <c r="Z1456" s="67"/>
      <c r="AA1456" s="67"/>
      <c r="AB1456" s="67"/>
      <c r="AC1456" s="67"/>
      <c r="AD1456" s="67"/>
      <c r="AE1456" s="67"/>
      <c r="AF1456" s="67"/>
      <c r="AG1456" s="67"/>
    </row>
    <row r="1457" spans="1:33">
      <c r="A1457" s="328"/>
      <c r="B1457" s="302">
        <v>4</v>
      </c>
      <c r="C1457" s="227" t="s">
        <v>962</v>
      </c>
      <c r="D1457" s="302"/>
      <c r="E1457" s="302"/>
      <c r="F1457" s="231"/>
      <c r="G1457" s="231"/>
      <c r="H1457" s="231">
        <v>102368</v>
      </c>
      <c r="I1457" s="67"/>
      <c r="J1457" s="67"/>
      <c r="K1457" s="67"/>
      <c r="L1457" s="67"/>
      <c r="M1457" s="67"/>
      <c r="N1457" s="67"/>
      <c r="O1457" s="67"/>
      <c r="P1457" s="67"/>
      <c r="Q1457" s="67"/>
      <c r="R1457" s="67"/>
      <c r="S1457" s="67"/>
      <c r="T1457" s="67"/>
      <c r="U1457" s="67"/>
      <c r="V1457" s="67"/>
      <c r="W1457" s="67"/>
      <c r="X1457" s="67"/>
      <c r="Y1457" s="67"/>
      <c r="Z1457" s="67"/>
      <c r="AA1457" s="67"/>
      <c r="AB1457" s="67"/>
      <c r="AC1457" s="67"/>
      <c r="AD1457" s="67"/>
      <c r="AE1457" s="67"/>
      <c r="AF1457" s="67"/>
      <c r="AG1457" s="67"/>
    </row>
    <row r="1458" spans="1:33">
      <c r="A1458" s="328"/>
      <c r="B1458" s="330"/>
      <c r="C1458" s="330" t="s">
        <v>770</v>
      </c>
      <c r="D1458" s="330"/>
      <c r="E1458" s="330"/>
      <c r="F1458" s="303"/>
      <c r="G1458" s="303"/>
      <c r="H1458" s="303">
        <f>SUM(H1452:H1457)</f>
        <v>2559200</v>
      </c>
      <c r="I1458" s="67"/>
      <c r="J1458" s="67"/>
      <c r="K1458" s="67"/>
      <c r="L1458" s="67"/>
      <c r="M1458" s="67"/>
      <c r="N1458" s="67"/>
      <c r="O1458" s="67"/>
      <c r="P1458" s="67"/>
      <c r="Q1458" s="67"/>
      <c r="R1458" s="67"/>
      <c r="S1458" s="67"/>
      <c r="T1458" s="67"/>
      <c r="U1458" s="67"/>
      <c r="V1458" s="67"/>
      <c r="W1458" s="67"/>
      <c r="X1458" s="67"/>
      <c r="Y1458" s="67"/>
      <c r="Z1458" s="67"/>
      <c r="AA1458" s="67"/>
      <c r="AB1458" s="67"/>
      <c r="AC1458" s="67"/>
      <c r="AD1458" s="67"/>
      <c r="AE1458" s="67"/>
      <c r="AF1458" s="67"/>
      <c r="AG1458" s="67"/>
    </row>
    <row r="1459" spans="1:33">
      <c r="A1459" s="9"/>
      <c r="B1459" s="67"/>
      <c r="C1459" s="67"/>
      <c r="D1459" s="67"/>
      <c r="E1459" s="67"/>
      <c r="F1459" s="67"/>
      <c r="G1459" s="67"/>
      <c r="H1459" s="67"/>
      <c r="I1459" s="67"/>
      <c r="J1459" s="67"/>
      <c r="K1459" s="67"/>
      <c r="L1459" s="67"/>
      <c r="M1459" s="67"/>
      <c r="N1459" s="67"/>
      <c r="O1459" s="67"/>
      <c r="P1459" s="67"/>
      <c r="Q1459" s="67"/>
      <c r="R1459" s="67"/>
      <c r="S1459" s="67"/>
      <c r="T1459" s="67"/>
      <c r="U1459" s="67"/>
      <c r="V1459" s="67"/>
      <c r="W1459" s="67"/>
      <c r="X1459" s="67"/>
      <c r="Y1459" s="67"/>
      <c r="Z1459" s="67"/>
      <c r="AA1459" s="67"/>
      <c r="AB1459" s="67"/>
      <c r="AC1459" s="67"/>
      <c r="AD1459" s="67"/>
      <c r="AE1459" s="67"/>
      <c r="AF1459" s="67"/>
      <c r="AG1459" s="67"/>
    </row>
    <row r="1460" spans="1:33">
      <c r="A1460" s="9"/>
      <c r="B1460" s="67"/>
      <c r="C1460" s="67"/>
      <c r="D1460" s="67"/>
      <c r="E1460" s="67"/>
      <c r="F1460" s="67"/>
      <c r="G1460" s="67"/>
      <c r="H1460" s="67"/>
      <c r="I1460" s="67"/>
      <c r="J1460" s="67"/>
      <c r="K1460" s="67"/>
      <c r="L1460" s="67"/>
      <c r="M1460" s="67"/>
      <c r="N1460" s="67"/>
      <c r="O1460" s="67"/>
      <c r="P1460" s="67"/>
      <c r="Q1460" s="67"/>
      <c r="R1460" s="67"/>
      <c r="S1460" s="67"/>
      <c r="T1460" s="67"/>
      <c r="U1460" s="67"/>
      <c r="V1460" s="67"/>
      <c r="W1460" s="67"/>
      <c r="X1460" s="67"/>
      <c r="Y1460" s="67"/>
      <c r="Z1460" s="67"/>
      <c r="AA1460" s="67"/>
      <c r="AB1460" s="67"/>
      <c r="AC1460" s="67"/>
      <c r="AD1460" s="67"/>
      <c r="AE1460" s="67"/>
      <c r="AF1460" s="67"/>
      <c r="AG1460" s="67"/>
    </row>
    <row r="1461" spans="1:33">
      <c r="A1461" s="9"/>
      <c r="B1461" s="67"/>
      <c r="C1461" s="67"/>
      <c r="D1461" s="67"/>
      <c r="E1461" s="67"/>
      <c r="F1461" s="67"/>
      <c r="G1461" s="67"/>
      <c r="H1461" s="67"/>
      <c r="I1461" s="67"/>
      <c r="J1461" s="67"/>
      <c r="K1461" s="67"/>
      <c r="L1461" s="67"/>
      <c r="M1461" s="67"/>
      <c r="N1461" s="67"/>
      <c r="O1461" s="67"/>
      <c r="P1461" s="67"/>
      <c r="Q1461" s="67"/>
      <c r="R1461" s="67"/>
      <c r="S1461" s="67"/>
      <c r="T1461" s="67"/>
      <c r="U1461" s="67"/>
      <c r="V1461" s="67"/>
      <c r="W1461" s="67"/>
      <c r="X1461" s="67"/>
      <c r="Y1461" s="67"/>
      <c r="Z1461" s="67"/>
      <c r="AA1461" s="67"/>
      <c r="AB1461" s="67"/>
      <c r="AC1461" s="67"/>
      <c r="AD1461" s="67"/>
      <c r="AE1461" s="67"/>
      <c r="AF1461" s="67"/>
      <c r="AG1461" s="67"/>
    </row>
    <row r="1462" spans="1:33">
      <c r="A1462" s="9"/>
      <c r="B1462" s="67"/>
      <c r="C1462" s="67"/>
      <c r="D1462" s="67"/>
      <c r="E1462" s="67"/>
      <c r="F1462" s="67"/>
      <c r="G1462" s="67"/>
      <c r="H1462" s="67"/>
      <c r="I1462" s="67"/>
      <c r="J1462" s="67"/>
      <c r="K1462" s="67"/>
      <c r="L1462" s="67"/>
      <c r="M1462" s="67"/>
      <c r="N1462" s="67"/>
      <c r="O1462" s="67"/>
      <c r="P1462" s="67"/>
      <c r="Q1462" s="67"/>
      <c r="R1462" s="67"/>
      <c r="S1462" s="67"/>
      <c r="T1462" s="67"/>
      <c r="U1462" s="67"/>
      <c r="V1462" s="67"/>
      <c r="W1462" s="67"/>
      <c r="X1462" s="67"/>
      <c r="Y1462" s="67"/>
      <c r="Z1462" s="67"/>
      <c r="AA1462" s="67"/>
      <c r="AB1462" s="67"/>
      <c r="AC1462" s="67"/>
      <c r="AD1462" s="67"/>
      <c r="AE1462" s="67"/>
      <c r="AF1462" s="67"/>
      <c r="AG1462" s="67"/>
    </row>
    <row r="1463" spans="1:33">
      <c r="A1463" s="9"/>
      <c r="B1463" s="67"/>
      <c r="C1463" s="67"/>
      <c r="D1463" s="67"/>
      <c r="E1463" s="67"/>
      <c r="F1463" s="67"/>
      <c r="G1463" s="67"/>
      <c r="H1463" s="67"/>
      <c r="I1463" s="67"/>
      <c r="J1463" s="67"/>
      <c r="K1463" s="67"/>
      <c r="L1463" s="67"/>
      <c r="M1463" s="67"/>
      <c r="N1463" s="67"/>
      <c r="O1463" s="67"/>
      <c r="P1463" s="67"/>
      <c r="Q1463" s="67"/>
      <c r="R1463" s="67"/>
      <c r="S1463" s="67"/>
      <c r="T1463" s="67"/>
      <c r="U1463" s="67"/>
      <c r="V1463" s="67"/>
      <c r="W1463" s="67"/>
      <c r="X1463" s="67"/>
      <c r="Y1463" s="67"/>
      <c r="Z1463" s="67"/>
      <c r="AA1463" s="67"/>
      <c r="AB1463" s="67"/>
      <c r="AC1463" s="67"/>
      <c r="AD1463" s="67"/>
      <c r="AE1463" s="67"/>
      <c r="AF1463" s="67"/>
      <c r="AG1463" s="67"/>
    </row>
    <row r="1464" spans="1:33">
      <c r="A1464" s="9"/>
      <c r="B1464" s="67"/>
      <c r="C1464" s="67"/>
      <c r="D1464" s="67"/>
      <c r="E1464" s="67"/>
      <c r="F1464" s="67"/>
      <c r="G1464" s="67"/>
      <c r="H1464" s="67"/>
      <c r="I1464" s="67"/>
      <c r="J1464" s="67"/>
      <c r="K1464" s="67"/>
      <c r="L1464" s="67"/>
      <c r="M1464" s="67"/>
      <c r="N1464" s="67"/>
      <c r="O1464" s="67"/>
      <c r="P1464" s="67"/>
      <c r="Q1464" s="67"/>
      <c r="R1464" s="67"/>
      <c r="S1464" s="67"/>
      <c r="T1464" s="67"/>
      <c r="U1464" s="67"/>
      <c r="V1464" s="67"/>
      <c r="W1464" s="67"/>
      <c r="X1464" s="67"/>
      <c r="Y1464" s="67"/>
      <c r="Z1464" s="67"/>
      <c r="AA1464" s="67"/>
      <c r="AB1464" s="67"/>
      <c r="AC1464" s="67"/>
      <c r="AD1464" s="67"/>
      <c r="AE1464" s="67"/>
      <c r="AF1464" s="67"/>
      <c r="AG1464" s="67"/>
    </row>
    <row r="1465" spans="1:33">
      <c r="A1465" s="9"/>
      <c r="B1465" s="67"/>
      <c r="C1465" s="67"/>
      <c r="D1465" s="67"/>
      <c r="E1465" s="67"/>
      <c r="F1465" s="67"/>
      <c r="G1465" s="67"/>
      <c r="H1465" s="67"/>
      <c r="I1465" s="67"/>
      <c r="J1465" s="67"/>
      <c r="K1465" s="67"/>
      <c r="L1465" s="67"/>
      <c r="M1465" s="67"/>
      <c r="N1465" s="67"/>
      <c r="O1465" s="67"/>
      <c r="P1465" s="67"/>
      <c r="Q1465" s="67"/>
      <c r="R1465" s="67"/>
      <c r="S1465" s="67"/>
      <c r="T1465" s="67"/>
      <c r="U1465" s="67"/>
      <c r="V1465" s="67"/>
      <c r="W1465" s="67"/>
      <c r="X1465" s="67"/>
      <c r="Y1465" s="67"/>
      <c r="Z1465" s="67"/>
      <c r="AA1465" s="67"/>
      <c r="AB1465" s="67"/>
      <c r="AC1465" s="67"/>
      <c r="AD1465" s="67"/>
      <c r="AE1465" s="67"/>
      <c r="AF1465" s="67"/>
      <c r="AG1465" s="67"/>
    </row>
    <row r="1466" spans="1:33">
      <c r="A1466" s="9"/>
      <c r="B1466" s="67"/>
      <c r="C1466" s="67"/>
      <c r="D1466" s="67"/>
      <c r="E1466" s="67"/>
      <c r="F1466" s="67"/>
      <c r="G1466" s="67"/>
      <c r="H1466" s="67"/>
      <c r="I1466" s="67"/>
      <c r="J1466" s="67"/>
      <c r="K1466" s="67"/>
      <c r="L1466" s="67"/>
      <c r="M1466" s="67"/>
      <c r="N1466" s="67"/>
      <c r="O1466" s="67"/>
      <c r="P1466" s="67"/>
      <c r="Q1466" s="67"/>
      <c r="R1466" s="67"/>
      <c r="S1466" s="67"/>
      <c r="T1466" s="67"/>
      <c r="U1466" s="67"/>
      <c r="V1466" s="67"/>
      <c r="W1466" s="67"/>
      <c r="X1466" s="67"/>
      <c r="Y1466" s="67"/>
      <c r="Z1466" s="67"/>
      <c r="AA1466" s="67"/>
      <c r="AB1466" s="67"/>
      <c r="AC1466" s="67"/>
      <c r="AD1466" s="67"/>
      <c r="AE1466" s="67"/>
      <c r="AF1466" s="67"/>
      <c r="AG1466" s="67"/>
    </row>
    <row r="1467" spans="1:33">
      <c r="A1467" s="9"/>
      <c r="B1467" s="67"/>
      <c r="C1467" s="67"/>
      <c r="D1467" s="67"/>
      <c r="E1467" s="67"/>
      <c r="F1467" s="67"/>
      <c r="G1467" s="67"/>
      <c r="H1467" s="67"/>
      <c r="I1467" s="67"/>
      <c r="J1467" s="67"/>
      <c r="K1467" s="67"/>
      <c r="L1467" s="67"/>
      <c r="M1467" s="67"/>
      <c r="N1467" s="67"/>
      <c r="O1467" s="67"/>
      <c r="P1467" s="67"/>
      <c r="Q1467" s="67"/>
      <c r="R1467" s="67"/>
      <c r="S1467" s="67"/>
      <c r="T1467" s="67"/>
      <c r="U1467" s="67"/>
      <c r="V1467" s="67"/>
      <c r="W1467" s="67"/>
      <c r="X1467" s="67"/>
      <c r="Y1467" s="67"/>
      <c r="Z1467" s="67"/>
      <c r="AA1467" s="67"/>
      <c r="AB1467" s="67"/>
      <c r="AC1467" s="67"/>
      <c r="AD1467" s="67"/>
      <c r="AE1467" s="67"/>
      <c r="AF1467" s="67"/>
      <c r="AG1467" s="67"/>
    </row>
    <row r="1468" spans="1:33">
      <c r="A1468" s="9"/>
      <c r="B1468" s="67"/>
      <c r="C1468" s="67"/>
      <c r="D1468" s="67"/>
      <c r="E1468" s="67"/>
      <c r="F1468" s="67"/>
      <c r="G1468" s="67"/>
      <c r="H1468" s="67"/>
      <c r="I1468" s="67"/>
      <c r="J1468" s="67"/>
      <c r="K1468" s="67"/>
      <c r="L1468" s="67"/>
      <c r="M1468" s="67"/>
      <c r="N1468" s="67"/>
      <c r="O1468" s="67"/>
      <c r="P1468" s="67"/>
      <c r="Q1468" s="67"/>
      <c r="R1468" s="67"/>
      <c r="S1468" s="67"/>
      <c r="T1468" s="67"/>
      <c r="U1468" s="67"/>
      <c r="V1468" s="67"/>
      <c r="W1468" s="67"/>
      <c r="X1468" s="67"/>
      <c r="Y1468" s="67"/>
      <c r="Z1468" s="67"/>
      <c r="AA1468" s="67"/>
      <c r="AB1468" s="67"/>
      <c r="AC1468" s="67"/>
      <c r="AD1468" s="67"/>
      <c r="AE1468" s="67"/>
      <c r="AF1468" s="67"/>
      <c r="AG1468" s="67"/>
    </row>
    <row r="1469" spans="1:33">
      <c r="A1469" s="9"/>
      <c r="B1469" s="67"/>
      <c r="C1469" s="67"/>
      <c r="D1469" s="67"/>
      <c r="E1469" s="67"/>
      <c r="F1469" s="67"/>
      <c r="G1469" s="67"/>
      <c r="H1469" s="67"/>
      <c r="I1469" s="67"/>
      <c r="J1469" s="67"/>
      <c r="K1469" s="67"/>
      <c r="L1469" s="67"/>
      <c r="M1469" s="67"/>
      <c r="N1469" s="67"/>
      <c r="O1469" s="67"/>
      <c r="P1469" s="67"/>
      <c r="Q1469" s="67"/>
      <c r="R1469" s="67"/>
      <c r="S1469" s="67"/>
      <c r="T1469" s="67"/>
      <c r="U1469" s="67"/>
      <c r="V1469" s="67"/>
      <c r="W1469" s="67"/>
      <c r="X1469" s="67"/>
      <c r="Y1469" s="67"/>
      <c r="Z1469" s="67"/>
      <c r="AA1469" s="67"/>
      <c r="AB1469" s="67"/>
      <c r="AC1469" s="67"/>
      <c r="AD1469" s="67"/>
      <c r="AE1469" s="67"/>
      <c r="AF1469" s="67"/>
      <c r="AG1469" s="67"/>
    </row>
    <row r="1470" spans="1:33">
      <c r="A1470" s="9"/>
      <c r="B1470" s="67"/>
      <c r="C1470" s="67"/>
      <c r="D1470" s="67"/>
      <c r="E1470" s="67"/>
      <c r="F1470" s="67"/>
      <c r="G1470" s="67"/>
      <c r="H1470" s="67"/>
      <c r="I1470" s="67"/>
      <c r="J1470" s="67"/>
      <c r="K1470" s="67"/>
      <c r="L1470" s="67"/>
      <c r="M1470" s="67"/>
      <c r="N1470" s="67"/>
      <c r="O1470" s="67"/>
      <c r="P1470" s="67"/>
      <c r="Q1470" s="67"/>
      <c r="R1470" s="67"/>
      <c r="S1470" s="67"/>
      <c r="T1470" s="67"/>
      <c r="U1470" s="67"/>
      <c r="V1470" s="67"/>
      <c r="W1470" s="67"/>
      <c r="X1470" s="67"/>
      <c r="Y1470" s="67"/>
      <c r="Z1470" s="67"/>
      <c r="AA1470" s="67"/>
      <c r="AB1470" s="67"/>
      <c r="AC1470" s="67"/>
      <c r="AD1470" s="67"/>
      <c r="AE1470" s="67"/>
      <c r="AF1470" s="67"/>
      <c r="AG1470" s="67"/>
    </row>
    <row r="1471" spans="1:33">
      <c r="A1471" s="9"/>
      <c r="B1471" s="67"/>
      <c r="C1471" s="67"/>
      <c r="D1471" s="67"/>
      <c r="E1471" s="67"/>
      <c r="F1471" s="67"/>
      <c r="G1471" s="67"/>
      <c r="H1471" s="67"/>
      <c r="I1471" s="67"/>
      <c r="J1471" s="67"/>
      <c r="K1471" s="67"/>
      <c r="L1471" s="67"/>
      <c r="M1471" s="67"/>
      <c r="N1471" s="67"/>
      <c r="O1471" s="67"/>
      <c r="P1471" s="67"/>
      <c r="Q1471" s="67"/>
      <c r="R1471" s="67"/>
      <c r="S1471" s="67"/>
      <c r="T1471" s="67"/>
      <c r="U1471" s="67"/>
      <c r="V1471" s="67"/>
      <c r="W1471" s="67"/>
      <c r="X1471" s="67"/>
      <c r="Y1471" s="67"/>
      <c r="Z1471" s="67"/>
      <c r="AA1471" s="67"/>
      <c r="AB1471" s="67"/>
      <c r="AC1471" s="67"/>
      <c r="AD1471" s="67"/>
      <c r="AE1471" s="67"/>
      <c r="AF1471" s="67"/>
      <c r="AG1471" s="67"/>
    </row>
    <row r="1472" spans="1:33">
      <c r="A1472" s="9"/>
      <c r="B1472" s="67"/>
      <c r="C1472" s="67"/>
      <c r="D1472" s="67"/>
      <c r="E1472" s="67"/>
      <c r="F1472" s="67"/>
      <c r="G1472" s="67"/>
      <c r="H1472" s="67"/>
      <c r="I1472" s="67"/>
      <c r="J1472" s="67"/>
      <c r="K1472" s="67"/>
      <c r="L1472" s="67"/>
      <c r="M1472" s="67"/>
      <c r="N1472" s="67"/>
      <c r="O1472" s="67"/>
      <c r="P1472" s="67"/>
      <c r="Q1472" s="67"/>
      <c r="R1472" s="67"/>
      <c r="S1472" s="67"/>
      <c r="T1472" s="67"/>
      <c r="U1472" s="67"/>
      <c r="V1472" s="67"/>
      <c r="W1472" s="67"/>
      <c r="X1472" s="67"/>
      <c r="Y1472" s="67"/>
      <c r="Z1472" s="67"/>
      <c r="AA1472" s="67"/>
      <c r="AB1472" s="67"/>
      <c r="AC1472" s="67"/>
      <c r="AD1472" s="67"/>
      <c r="AE1472" s="67"/>
      <c r="AF1472" s="67"/>
      <c r="AG1472" s="67"/>
    </row>
    <row r="1473" spans="1:33">
      <c r="A1473" s="9"/>
      <c r="B1473" s="67"/>
      <c r="C1473" s="67"/>
      <c r="D1473" s="67"/>
      <c r="E1473" s="67"/>
      <c r="F1473" s="67"/>
      <c r="G1473" s="67"/>
      <c r="H1473" s="67"/>
      <c r="I1473" s="67"/>
      <c r="J1473" s="67"/>
      <c r="K1473" s="67"/>
      <c r="L1473" s="67"/>
      <c r="M1473" s="67"/>
      <c r="N1473" s="67"/>
      <c r="O1473" s="67"/>
      <c r="P1473" s="67"/>
      <c r="Q1473" s="67"/>
      <c r="R1473" s="67"/>
      <c r="S1473" s="67"/>
      <c r="T1473" s="67"/>
      <c r="U1473" s="67"/>
      <c r="V1473" s="67"/>
      <c r="W1473" s="67"/>
      <c r="X1473" s="67"/>
      <c r="Y1473" s="67"/>
      <c r="Z1473" s="67"/>
      <c r="AA1473" s="67"/>
      <c r="AB1473" s="67"/>
      <c r="AC1473" s="67"/>
      <c r="AD1473" s="67"/>
      <c r="AE1473" s="67"/>
      <c r="AF1473" s="67"/>
      <c r="AG1473" s="67"/>
    </row>
    <row r="1474" spans="1:33">
      <c r="A1474" s="9"/>
      <c r="B1474" s="67"/>
      <c r="C1474" s="67"/>
      <c r="D1474" s="67"/>
      <c r="E1474" s="67"/>
      <c r="F1474" s="67"/>
      <c r="G1474" s="67"/>
      <c r="H1474" s="67"/>
      <c r="I1474" s="67"/>
      <c r="J1474" s="67"/>
      <c r="K1474" s="67"/>
      <c r="L1474" s="67"/>
      <c r="M1474" s="67"/>
      <c r="N1474" s="67"/>
      <c r="O1474" s="67"/>
      <c r="P1474" s="67"/>
      <c r="Q1474" s="67"/>
      <c r="R1474" s="67"/>
      <c r="S1474" s="67"/>
      <c r="T1474" s="67"/>
      <c r="U1474" s="67"/>
      <c r="V1474" s="67"/>
      <c r="W1474" s="67"/>
      <c r="X1474" s="67"/>
      <c r="Y1474" s="67"/>
      <c r="Z1474" s="67"/>
      <c r="AA1474" s="67"/>
      <c r="AB1474" s="67"/>
      <c r="AC1474" s="67"/>
      <c r="AD1474" s="67"/>
      <c r="AE1474" s="67"/>
      <c r="AF1474" s="67"/>
      <c r="AG1474" s="67"/>
    </row>
    <row r="1475" spans="1:33">
      <c r="A1475" s="9"/>
      <c r="B1475" s="67"/>
      <c r="C1475" s="67"/>
      <c r="D1475" s="67"/>
      <c r="E1475" s="67"/>
      <c r="F1475" s="67"/>
      <c r="G1475" s="67"/>
      <c r="H1475" s="67"/>
      <c r="I1475" s="67"/>
      <c r="J1475" s="67"/>
      <c r="K1475" s="67"/>
      <c r="L1475" s="67"/>
      <c r="M1475" s="67"/>
      <c r="N1475" s="67"/>
      <c r="O1475" s="67"/>
      <c r="P1475" s="67"/>
      <c r="Q1475" s="67"/>
      <c r="R1475" s="67"/>
      <c r="S1475" s="67"/>
      <c r="T1475" s="67"/>
      <c r="U1475" s="67"/>
      <c r="V1475" s="67"/>
      <c r="W1475" s="67"/>
      <c r="X1475" s="67"/>
      <c r="Y1475" s="67"/>
      <c r="Z1475" s="67"/>
      <c r="AA1475" s="67"/>
      <c r="AB1475" s="67"/>
      <c r="AC1475" s="67"/>
      <c r="AD1475" s="67"/>
      <c r="AE1475" s="67"/>
      <c r="AF1475" s="67"/>
      <c r="AG1475" s="67"/>
    </row>
    <row r="1476" spans="1:33">
      <c r="A1476" s="9"/>
      <c r="B1476" s="67"/>
      <c r="C1476" s="67"/>
      <c r="D1476" s="67"/>
      <c r="E1476" s="67"/>
      <c r="F1476" s="67"/>
      <c r="G1476" s="67"/>
      <c r="H1476" s="67"/>
      <c r="I1476" s="67"/>
      <c r="J1476" s="67"/>
      <c r="K1476" s="67"/>
      <c r="L1476" s="67"/>
      <c r="M1476" s="67"/>
      <c r="N1476" s="67"/>
      <c r="O1476" s="67"/>
      <c r="P1476" s="67"/>
      <c r="Q1476" s="67"/>
      <c r="R1476" s="67"/>
      <c r="S1476" s="67"/>
      <c r="T1476" s="67"/>
      <c r="U1476" s="67"/>
      <c r="V1476" s="67"/>
      <c r="W1476" s="67"/>
      <c r="X1476" s="67"/>
      <c r="Y1476" s="67"/>
      <c r="Z1476" s="67"/>
      <c r="AA1476" s="67"/>
      <c r="AB1476" s="67"/>
      <c r="AC1476" s="67"/>
      <c r="AD1476" s="67"/>
      <c r="AE1476" s="67"/>
      <c r="AF1476" s="67"/>
      <c r="AG1476" s="67"/>
    </row>
    <row r="1477" spans="1:33">
      <c r="A1477" s="9"/>
      <c r="B1477" s="67"/>
      <c r="C1477" s="67"/>
      <c r="D1477" s="67"/>
      <c r="E1477" s="67"/>
      <c r="F1477" s="67"/>
      <c r="G1477" s="67"/>
      <c r="H1477" s="67"/>
      <c r="I1477" s="67"/>
      <c r="J1477" s="67"/>
      <c r="K1477" s="67"/>
      <c r="L1477" s="67"/>
      <c r="M1477" s="67"/>
      <c r="N1477" s="67"/>
      <c r="O1477" s="67"/>
      <c r="P1477" s="67"/>
      <c r="Q1477" s="67"/>
      <c r="R1477" s="67"/>
      <c r="S1477" s="67"/>
      <c r="T1477" s="67"/>
      <c r="U1477" s="67"/>
      <c r="V1477" s="67"/>
      <c r="W1477" s="67"/>
      <c r="X1477" s="67"/>
      <c r="Y1477" s="67"/>
      <c r="Z1477" s="67"/>
      <c r="AA1477" s="67"/>
      <c r="AB1477" s="67"/>
      <c r="AC1477" s="67"/>
      <c r="AD1477" s="67"/>
      <c r="AE1477" s="67"/>
      <c r="AF1477" s="67"/>
      <c r="AG1477" s="67"/>
    </row>
    <row r="1478" spans="1:33">
      <c r="A1478" s="9"/>
      <c r="B1478" s="67"/>
      <c r="C1478" s="67"/>
      <c r="D1478" s="67"/>
      <c r="E1478" s="67"/>
      <c r="F1478" s="67"/>
      <c r="G1478" s="67"/>
      <c r="H1478" s="67"/>
      <c r="I1478" s="67"/>
      <c r="J1478" s="67"/>
      <c r="K1478" s="67"/>
      <c r="L1478" s="67"/>
      <c r="M1478" s="67"/>
      <c r="N1478" s="67"/>
      <c r="O1478" s="67"/>
      <c r="P1478" s="67"/>
      <c r="Q1478" s="67"/>
      <c r="R1478" s="67"/>
      <c r="S1478" s="67"/>
      <c r="T1478" s="67"/>
      <c r="U1478" s="67"/>
      <c r="V1478" s="67"/>
      <c r="W1478" s="67"/>
      <c r="X1478" s="67"/>
      <c r="Y1478" s="67"/>
      <c r="Z1478" s="67"/>
      <c r="AA1478" s="67"/>
      <c r="AB1478" s="67"/>
      <c r="AC1478" s="67"/>
      <c r="AD1478" s="67"/>
      <c r="AE1478" s="67"/>
      <c r="AF1478" s="67"/>
      <c r="AG1478" s="67"/>
    </row>
    <row r="1479" spans="1:33">
      <c r="A1479" s="9"/>
      <c r="B1479" s="67"/>
      <c r="C1479" s="67"/>
      <c r="D1479" s="67"/>
      <c r="E1479" s="67"/>
      <c r="F1479" s="67"/>
      <c r="G1479" s="67"/>
      <c r="H1479" s="67"/>
      <c r="I1479" s="67"/>
      <c r="J1479" s="67"/>
      <c r="K1479" s="67"/>
      <c r="L1479" s="67"/>
      <c r="M1479" s="67"/>
      <c r="N1479" s="67"/>
      <c r="O1479" s="67"/>
      <c r="P1479" s="67"/>
      <c r="Q1479" s="67"/>
      <c r="R1479" s="67"/>
      <c r="S1479" s="67"/>
      <c r="T1479" s="67"/>
      <c r="U1479" s="67"/>
      <c r="V1479" s="67"/>
      <c r="W1479" s="67"/>
      <c r="X1479" s="67"/>
      <c r="Y1479" s="67"/>
      <c r="Z1479" s="67"/>
      <c r="AA1479" s="67"/>
      <c r="AB1479" s="67"/>
      <c r="AC1479" s="67"/>
      <c r="AD1479" s="67"/>
      <c r="AE1479" s="67"/>
      <c r="AF1479" s="67"/>
      <c r="AG1479" s="67"/>
    </row>
    <row r="1480" spans="1:33">
      <c r="A1480" s="9"/>
      <c r="B1480" s="67"/>
      <c r="C1480" s="67"/>
      <c r="D1480" s="67"/>
      <c r="E1480" s="67"/>
      <c r="F1480" s="67"/>
      <c r="G1480" s="67"/>
      <c r="H1480" s="67"/>
      <c r="I1480" s="67"/>
      <c r="J1480" s="67"/>
      <c r="K1480" s="67"/>
      <c r="L1480" s="67"/>
      <c r="M1480" s="67"/>
      <c r="N1480" s="67"/>
      <c r="O1480" s="67"/>
      <c r="P1480" s="67"/>
      <c r="Q1480" s="67"/>
      <c r="R1480" s="67"/>
      <c r="S1480" s="67"/>
      <c r="T1480" s="67"/>
      <c r="U1480" s="67"/>
      <c r="V1480" s="67"/>
      <c r="W1480" s="67"/>
      <c r="X1480" s="67"/>
      <c r="Y1480" s="67"/>
      <c r="Z1480" s="67"/>
      <c r="AA1480" s="67"/>
      <c r="AB1480" s="67"/>
      <c r="AC1480" s="67"/>
      <c r="AD1480" s="67"/>
      <c r="AE1480" s="67"/>
      <c r="AF1480" s="67"/>
      <c r="AG1480" s="67"/>
    </row>
    <row r="1481" spans="1:33">
      <c r="A1481" s="9"/>
      <c r="B1481" s="67"/>
      <c r="C1481" s="67"/>
      <c r="D1481" s="67"/>
      <c r="E1481" s="67"/>
      <c r="F1481" s="67"/>
      <c r="G1481" s="67"/>
      <c r="H1481" s="67"/>
      <c r="I1481" s="67"/>
      <c r="J1481" s="67"/>
      <c r="K1481" s="67"/>
      <c r="L1481" s="67"/>
      <c r="M1481" s="67"/>
      <c r="N1481" s="67"/>
      <c r="O1481" s="67"/>
      <c r="P1481" s="67"/>
      <c r="Q1481" s="67"/>
      <c r="R1481" s="67"/>
      <c r="S1481" s="67"/>
      <c r="T1481" s="67"/>
      <c r="U1481" s="67"/>
      <c r="V1481" s="67"/>
      <c r="W1481" s="67"/>
      <c r="X1481" s="67"/>
      <c r="Y1481" s="67"/>
      <c r="Z1481" s="67"/>
      <c r="AA1481" s="67"/>
      <c r="AB1481" s="67"/>
      <c r="AC1481" s="67"/>
      <c r="AD1481" s="67"/>
      <c r="AE1481" s="67"/>
      <c r="AF1481" s="67"/>
      <c r="AG1481" s="67"/>
    </row>
    <row r="1482" spans="1:33">
      <c r="A1482" s="9"/>
      <c r="B1482" s="67"/>
      <c r="C1482" s="67"/>
      <c r="D1482" s="67"/>
      <c r="E1482" s="67"/>
      <c r="F1482" s="67"/>
      <c r="G1482" s="67"/>
      <c r="H1482" s="67"/>
      <c r="I1482" s="67"/>
      <c r="J1482" s="67"/>
      <c r="K1482" s="67"/>
      <c r="L1482" s="67"/>
      <c r="M1482" s="67"/>
      <c r="N1482" s="67"/>
      <c r="O1482" s="67"/>
      <c r="P1482" s="67"/>
      <c r="Q1482" s="67"/>
      <c r="R1482" s="67"/>
      <c r="S1482" s="67"/>
      <c r="T1482" s="67"/>
      <c r="U1482" s="67"/>
      <c r="V1482" s="67"/>
      <c r="W1482" s="67"/>
      <c r="X1482" s="67"/>
      <c r="Y1482" s="67"/>
      <c r="Z1482" s="67"/>
      <c r="AA1482" s="67"/>
      <c r="AB1482" s="67"/>
      <c r="AC1482" s="67"/>
      <c r="AD1482" s="67"/>
      <c r="AE1482" s="67"/>
      <c r="AF1482" s="67"/>
      <c r="AG1482" s="67"/>
    </row>
    <row r="1483" spans="1:33">
      <c r="A1483" s="9"/>
      <c r="B1483" s="67"/>
      <c r="C1483" s="67"/>
      <c r="D1483" s="67"/>
      <c r="E1483" s="67"/>
      <c r="F1483" s="67"/>
      <c r="G1483" s="67"/>
      <c r="H1483" s="67"/>
      <c r="I1483" s="67"/>
      <c r="J1483" s="67"/>
      <c r="K1483" s="67"/>
      <c r="L1483" s="67"/>
      <c r="M1483" s="67"/>
      <c r="N1483" s="67"/>
      <c r="O1483" s="67"/>
      <c r="P1483" s="67"/>
      <c r="Q1483" s="67"/>
      <c r="R1483" s="67"/>
      <c r="S1483" s="67"/>
      <c r="T1483" s="67"/>
      <c r="U1483" s="67"/>
      <c r="V1483" s="67"/>
      <c r="W1483" s="67"/>
      <c r="X1483" s="67"/>
      <c r="Y1483" s="67"/>
      <c r="Z1483" s="67"/>
      <c r="AA1483" s="67"/>
      <c r="AB1483" s="67"/>
      <c r="AC1483" s="67"/>
      <c r="AD1483" s="67"/>
      <c r="AE1483" s="67"/>
      <c r="AF1483" s="67"/>
      <c r="AG1483" s="67"/>
    </row>
    <row r="1484" spans="1:33">
      <c r="A1484" s="9"/>
      <c r="B1484" s="67"/>
      <c r="C1484" s="67"/>
      <c r="D1484" s="67"/>
      <c r="E1484" s="67"/>
      <c r="F1484" s="67"/>
      <c r="G1484" s="67"/>
      <c r="H1484" s="67"/>
      <c r="I1484" s="67"/>
      <c r="J1484" s="67"/>
      <c r="K1484" s="67"/>
      <c r="L1484" s="67"/>
      <c r="M1484" s="67"/>
      <c r="N1484" s="67"/>
      <c r="O1484" s="67"/>
      <c r="P1484" s="67"/>
      <c r="Q1484" s="67"/>
      <c r="R1484" s="67"/>
      <c r="S1484" s="67"/>
      <c r="T1484" s="67"/>
      <c r="U1484" s="67"/>
      <c r="V1484" s="67"/>
      <c r="W1484" s="67"/>
      <c r="X1484" s="67"/>
      <c r="Y1484" s="67"/>
      <c r="Z1484" s="67"/>
      <c r="AA1484" s="67"/>
      <c r="AB1484" s="67"/>
      <c r="AC1484" s="67"/>
      <c r="AD1484" s="67"/>
      <c r="AE1484" s="67"/>
      <c r="AF1484" s="67"/>
      <c r="AG1484" s="67"/>
    </row>
    <row r="1485" spans="1:33">
      <c r="A1485" s="9"/>
      <c r="B1485" s="67"/>
      <c r="C1485" s="67"/>
      <c r="D1485" s="67"/>
      <c r="E1485" s="67"/>
      <c r="F1485" s="67"/>
      <c r="G1485" s="67"/>
      <c r="H1485" s="67"/>
      <c r="I1485" s="67"/>
      <c r="J1485" s="67"/>
      <c r="K1485" s="67"/>
      <c r="L1485" s="67"/>
      <c r="M1485" s="67"/>
      <c r="N1485" s="67"/>
      <c r="O1485" s="67"/>
      <c r="P1485" s="67"/>
      <c r="Q1485" s="67"/>
      <c r="R1485" s="67"/>
      <c r="S1485" s="67"/>
      <c r="T1485" s="67"/>
      <c r="U1485" s="67"/>
      <c r="V1485" s="67"/>
      <c r="W1485" s="67"/>
      <c r="X1485" s="67"/>
      <c r="Y1485" s="67"/>
      <c r="Z1485" s="67"/>
      <c r="AA1485" s="67"/>
      <c r="AB1485" s="67"/>
      <c r="AC1485" s="67"/>
      <c r="AD1485" s="67"/>
      <c r="AE1485" s="67"/>
      <c r="AF1485" s="67"/>
      <c r="AG1485" s="67"/>
    </row>
    <row r="1486" spans="1:33">
      <c r="A1486" s="9"/>
      <c r="B1486" s="67"/>
      <c r="C1486" s="67"/>
      <c r="D1486" s="67"/>
      <c r="E1486" s="67"/>
      <c r="F1486" s="67"/>
      <c r="G1486" s="67"/>
      <c r="H1486" s="67"/>
      <c r="I1486" s="67"/>
      <c r="J1486" s="67"/>
      <c r="K1486" s="67"/>
      <c r="L1486" s="67"/>
      <c r="M1486" s="67"/>
      <c r="N1486" s="67"/>
      <c r="O1486" s="67"/>
      <c r="P1486" s="67"/>
      <c r="Q1486" s="67"/>
      <c r="R1486" s="67"/>
      <c r="S1486" s="67"/>
      <c r="T1486" s="67"/>
      <c r="U1486" s="67"/>
      <c r="V1486" s="67"/>
      <c r="W1486" s="67"/>
      <c r="X1486" s="67"/>
      <c r="Y1486" s="67"/>
      <c r="Z1486" s="67"/>
      <c r="AA1486" s="67"/>
      <c r="AB1486" s="67"/>
      <c r="AC1486" s="67"/>
      <c r="AD1486" s="67"/>
      <c r="AE1486" s="67"/>
      <c r="AF1486" s="67"/>
      <c r="AG1486" s="67"/>
    </row>
    <row r="1487" spans="1:33">
      <c r="A1487" s="9"/>
      <c r="B1487" s="67"/>
      <c r="C1487" s="67"/>
      <c r="D1487" s="67"/>
      <c r="E1487" s="67"/>
      <c r="F1487" s="67"/>
      <c r="G1487" s="67"/>
      <c r="H1487" s="67"/>
      <c r="I1487" s="67"/>
      <c r="J1487" s="67"/>
      <c r="K1487" s="67"/>
      <c r="L1487" s="67"/>
      <c r="M1487" s="67"/>
      <c r="N1487" s="67"/>
      <c r="O1487" s="67"/>
      <c r="P1487" s="67"/>
      <c r="Q1487" s="67"/>
      <c r="R1487" s="67"/>
      <c r="S1487" s="67"/>
      <c r="T1487" s="67"/>
      <c r="U1487" s="67"/>
      <c r="V1487" s="67"/>
      <c r="W1487" s="67"/>
      <c r="X1487" s="67"/>
      <c r="Y1487" s="67"/>
      <c r="Z1487" s="67"/>
      <c r="AA1487" s="67"/>
      <c r="AB1487" s="67"/>
      <c r="AC1487" s="67"/>
      <c r="AD1487" s="67"/>
      <c r="AE1487" s="67"/>
      <c r="AF1487" s="67"/>
      <c r="AG1487" s="67"/>
    </row>
    <row r="1488" spans="1:33">
      <c r="A1488" s="9"/>
      <c r="B1488" s="67"/>
      <c r="C1488" s="67"/>
      <c r="D1488" s="67"/>
      <c r="E1488" s="67"/>
      <c r="F1488" s="67"/>
      <c r="G1488" s="67"/>
      <c r="H1488" s="67"/>
      <c r="I1488" s="67"/>
      <c r="J1488" s="67"/>
      <c r="K1488" s="67"/>
      <c r="L1488" s="67"/>
      <c r="M1488" s="67"/>
      <c r="N1488" s="67"/>
      <c r="O1488" s="67"/>
      <c r="P1488" s="67"/>
      <c r="Q1488" s="67"/>
      <c r="R1488" s="67"/>
      <c r="S1488" s="67"/>
      <c r="T1488" s="67"/>
      <c r="U1488" s="67"/>
      <c r="V1488" s="67"/>
      <c r="W1488" s="67"/>
      <c r="X1488" s="67"/>
      <c r="Y1488" s="67"/>
      <c r="Z1488" s="67"/>
      <c r="AA1488" s="67"/>
      <c r="AB1488" s="67"/>
      <c r="AC1488" s="67"/>
      <c r="AD1488" s="67"/>
      <c r="AE1488" s="67"/>
      <c r="AF1488" s="67"/>
      <c r="AG1488" s="67"/>
    </row>
    <row r="1489" spans="1:33">
      <c r="A1489" s="9"/>
      <c r="B1489" s="67"/>
      <c r="C1489" s="67"/>
      <c r="D1489" s="67"/>
      <c r="E1489" s="67"/>
      <c r="F1489" s="67"/>
      <c r="G1489" s="67"/>
      <c r="H1489" s="67"/>
      <c r="I1489" s="67"/>
      <c r="J1489" s="67"/>
      <c r="K1489" s="67"/>
      <c r="L1489" s="67"/>
      <c r="M1489" s="67"/>
      <c r="N1489" s="67"/>
      <c r="O1489" s="67"/>
      <c r="P1489" s="67"/>
      <c r="Q1489" s="67"/>
      <c r="R1489" s="67"/>
      <c r="S1489" s="67"/>
      <c r="T1489" s="67"/>
      <c r="U1489" s="67"/>
      <c r="V1489" s="67"/>
      <c r="W1489" s="67"/>
      <c r="X1489" s="67"/>
      <c r="Y1489" s="67"/>
      <c r="Z1489" s="67"/>
      <c r="AA1489" s="67"/>
      <c r="AB1489" s="67"/>
      <c r="AC1489" s="67"/>
      <c r="AD1489" s="67"/>
      <c r="AE1489" s="67"/>
      <c r="AF1489" s="67"/>
      <c r="AG1489" s="67"/>
    </row>
    <row r="1490" spans="1:33">
      <c r="A1490" s="9"/>
      <c r="B1490" s="67"/>
      <c r="C1490" s="67"/>
      <c r="D1490" s="67"/>
      <c r="E1490" s="67"/>
      <c r="F1490" s="67"/>
      <c r="G1490" s="67"/>
      <c r="H1490" s="67"/>
      <c r="I1490" s="67"/>
      <c r="J1490" s="67"/>
      <c r="K1490" s="67"/>
      <c r="L1490" s="67"/>
      <c r="M1490" s="67"/>
      <c r="N1490" s="67"/>
      <c r="O1490" s="67"/>
      <c r="P1490" s="67"/>
      <c r="Q1490" s="67"/>
      <c r="R1490" s="67"/>
      <c r="S1490" s="67"/>
      <c r="T1490" s="67"/>
      <c r="U1490" s="67"/>
      <c r="V1490" s="67"/>
      <c r="W1490" s="67"/>
      <c r="X1490" s="67"/>
      <c r="Y1490" s="67"/>
      <c r="Z1490" s="67"/>
      <c r="AA1490" s="67"/>
      <c r="AB1490" s="67"/>
      <c r="AC1490" s="67"/>
      <c r="AD1490" s="67"/>
      <c r="AE1490" s="67"/>
      <c r="AF1490" s="67"/>
      <c r="AG1490" s="67"/>
    </row>
    <row r="1491" spans="1:33">
      <c r="A1491" s="9"/>
      <c r="B1491" s="67"/>
      <c r="C1491" s="67"/>
      <c r="D1491" s="67"/>
      <c r="E1491" s="67"/>
      <c r="F1491" s="67"/>
      <c r="G1491" s="67"/>
      <c r="H1491" s="67"/>
      <c r="I1491" s="67"/>
      <c r="J1491" s="67"/>
      <c r="K1491" s="67"/>
      <c r="L1491" s="67"/>
      <c r="M1491" s="67"/>
      <c r="N1491" s="67"/>
      <c r="O1491" s="67"/>
      <c r="P1491" s="67"/>
      <c r="Q1491" s="67"/>
      <c r="R1491" s="67"/>
      <c r="S1491" s="67"/>
      <c r="T1491" s="67"/>
      <c r="U1491" s="67"/>
      <c r="V1491" s="67"/>
      <c r="W1491" s="67"/>
      <c r="X1491" s="67"/>
      <c r="Y1491" s="67"/>
      <c r="Z1491" s="67"/>
      <c r="AA1491" s="67"/>
      <c r="AB1491" s="67"/>
      <c r="AC1491" s="67"/>
      <c r="AD1491" s="67"/>
      <c r="AE1491" s="67"/>
      <c r="AF1491" s="67"/>
      <c r="AG1491" s="67"/>
    </row>
    <row r="1492" spans="1:33">
      <c r="A1492" s="9"/>
      <c r="B1492" s="67"/>
      <c r="C1492" s="67"/>
      <c r="D1492" s="67"/>
      <c r="E1492" s="67"/>
      <c r="F1492" s="67"/>
      <c r="G1492" s="67"/>
      <c r="H1492" s="67"/>
      <c r="I1492" s="67"/>
      <c r="J1492" s="67"/>
      <c r="K1492" s="67"/>
      <c r="L1492" s="67"/>
      <c r="M1492" s="67"/>
      <c r="N1492" s="67"/>
      <c r="O1492" s="67"/>
      <c r="P1492" s="67"/>
      <c r="Q1492" s="67"/>
      <c r="R1492" s="67"/>
      <c r="S1492" s="67"/>
      <c r="T1492" s="67"/>
      <c r="U1492" s="67"/>
      <c r="V1492" s="67"/>
      <c r="W1492" s="67"/>
      <c r="X1492" s="67"/>
      <c r="Y1492" s="67"/>
      <c r="Z1492" s="67"/>
      <c r="AA1492" s="67"/>
      <c r="AB1492" s="67"/>
      <c r="AC1492" s="67"/>
      <c r="AD1492" s="67"/>
      <c r="AE1492" s="67"/>
      <c r="AF1492" s="67"/>
      <c r="AG1492" s="67"/>
    </row>
    <row r="1493" spans="1:33">
      <c r="A1493" s="9"/>
      <c r="B1493" s="67"/>
      <c r="C1493" s="67"/>
      <c r="D1493" s="67"/>
      <c r="E1493" s="67"/>
      <c r="F1493" s="67"/>
      <c r="G1493" s="67"/>
      <c r="H1493" s="67"/>
      <c r="I1493" s="67"/>
      <c r="J1493" s="67"/>
      <c r="K1493" s="67"/>
      <c r="L1493" s="67"/>
      <c r="M1493" s="67"/>
      <c r="N1493" s="67"/>
      <c r="O1493" s="67"/>
      <c r="P1493" s="67"/>
      <c r="Q1493" s="67"/>
      <c r="R1493" s="67"/>
      <c r="S1493" s="67"/>
      <c r="T1493" s="67"/>
      <c r="U1493" s="67"/>
      <c r="V1493" s="67"/>
      <c r="W1493" s="67"/>
      <c r="X1493" s="67"/>
      <c r="Y1493" s="67"/>
      <c r="Z1493" s="67"/>
      <c r="AA1493" s="67"/>
      <c r="AB1493" s="67"/>
      <c r="AC1493" s="67"/>
      <c r="AD1493" s="67"/>
      <c r="AE1493" s="67"/>
      <c r="AF1493" s="67"/>
      <c r="AG1493" s="67"/>
    </row>
    <row r="1494" spans="1:33">
      <c r="A1494" s="9"/>
      <c r="B1494" s="67"/>
      <c r="C1494" s="67"/>
      <c r="D1494" s="67"/>
      <c r="E1494" s="67"/>
      <c r="F1494" s="67"/>
      <c r="G1494" s="67"/>
      <c r="H1494" s="67"/>
      <c r="I1494" s="67"/>
      <c r="J1494" s="67"/>
      <c r="K1494" s="67"/>
      <c r="L1494" s="67"/>
      <c r="M1494" s="67"/>
      <c r="N1494" s="67"/>
      <c r="O1494" s="67"/>
      <c r="P1494" s="67"/>
      <c r="Q1494" s="67"/>
      <c r="R1494" s="67"/>
      <c r="S1494" s="67"/>
      <c r="T1494" s="67"/>
      <c r="U1494" s="67"/>
      <c r="V1494" s="67"/>
      <c r="W1494" s="67"/>
      <c r="X1494" s="67"/>
      <c r="Y1494" s="67"/>
      <c r="Z1494" s="67"/>
      <c r="AA1494" s="67"/>
      <c r="AB1494" s="67"/>
      <c r="AC1494" s="67"/>
      <c r="AD1494" s="67"/>
      <c r="AE1494" s="67"/>
      <c r="AF1494" s="67"/>
      <c r="AG1494" s="67"/>
    </row>
    <row r="1495" spans="1:33">
      <c r="A1495" s="9"/>
      <c r="B1495" s="67"/>
      <c r="C1495" s="67"/>
      <c r="D1495" s="67"/>
      <c r="E1495" s="67"/>
      <c r="F1495" s="67"/>
      <c r="G1495" s="67"/>
      <c r="H1495" s="67"/>
      <c r="I1495" s="67"/>
      <c r="J1495" s="67"/>
      <c r="K1495" s="67"/>
      <c r="L1495" s="67"/>
      <c r="M1495" s="67"/>
      <c r="N1495" s="67"/>
      <c r="O1495" s="67"/>
      <c r="P1495" s="67"/>
      <c r="Q1495" s="67"/>
      <c r="R1495" s="67"/>
      <c r="S1495" s="67"/>
      <c r="T1495" s="67"/>
      <c r="U1495" s="67"/>
      <c r="V1495" s="67"/>
      <c r="W1495" s="67"/>
      <c r="X1495" s="67"/>
      <c r="Y1495" s="67"/>
      <c r="Z1495" s="67"/>
      <c r="AA1495" s="67"/>
      <c r="AB1495" s="67"/>
      <c r="AC1495" s="67"/>
      <c r="AD1495" s="67"/>
      <c r="AE1495" s="67"/>
      <c r="AF1495" s="67"/>
      <c r="AG1495" s="67"/>
    </row>
    <row r="1496" spans="1:33">
      <c r="A1496" s="9"/>
      <c r="B1496" s="67"/>
      <c r="C1496" s="67"/>
      <c r="D1496" s="67"/>
      <c r="E1496" s="67"/>
      <c r="F1496" s="67"/>
      <c r="G1496" s="67"/>
      <c r="H1496" s="67"/>
      <c r="I1496" s="67"/>
      <c r="J1496" s="67"/>
      <c r="K1496" s="67"/>
      <c r="L1496" s="67"/>
      <c r="M1496" s="67"/>
      <c r="N1496" s="67"/>
      <c r="O1496" s="67"/>
      <c r="P1496" s="67"/>
      <c r="Q1496" s="67"/>
      <c r="R1496" s="67"/>
      <c r="S1496" s="67"/>
      <c r="T1496" s="67"/>
      <c r="U1496" s="67"/>
      <c r="V1496" s="67"/>
      <c r="W1496" s="67"/>
      <c r="X1496" s="67"/>
      <c r="Y1496" s="67"/>
      <c r="Z1496" s="67"/>
      <c r="AA1496" s="67"/>
      <c r="AB1496" s="67"/>
      <c r="AC1496" s="67"/>
      <c r="AD1496" s="67"/>
      <c r="AE1496" s="67"/>
      <c r="AF1496" s="67"/>
      <c r="AG1496" s="67"/>
    </row>
    <row r="1497" spans="1:33">
      <c r="A1497" s="9"/>
      <c r="B1497" s="67"/>
      <c r="C1497" s="67"/>
      <c r="D1497" s="67"/>
      <c r="E1497" s="67"/>
      <c r="F1497" s="67"/>
      <c r="G1497" s="67"/>
      <c r="H1497" s="67"/>
      <c r="I1497" s="67"/>
      <c r="J1497" s="67"/>
      <c r="K1497" s="67"/>
      <c r="L1497" s="67"/>
      <c r="M1497" s="67"/>
      <c r="N1497" s="67"/>
      <c r="O1497" s="67"/>
      <c r="P1497" s="67"/>
      <c r="Q1497" s="67"/>
      <c r="R1497" s="67"/>
      <c r="S1497" s="67"/>
      <c r="T1497" s="67"/>
      <c r="U1497" s="67"/>
      <c r="V1497" s="67"/>
      <c r="W1497" s="67"/>
      <c r="X1497" s="67"/>
      <c r="Y1497" s="67"/>
      <c r="Z1497" s="67"/>
      <c r="AA1497" s="67"/>
      <c r="AB1497" s="67"/>
      <c r="AC1497" s="67"/>
      <c r="AD1497" s="67"/>
      <c r="AE1497" s="67"/>
      <c r="AF1497" s="67"/>
      <c r="AG1497" s="67"/>
    </row>
    <row r="1498" spans="1:33">
      <c r="A1498" s="9"/>
      <c r="B1498" s="67"/>
      <c r="C1498" s="67"/>
      <c r="D1498" s="67"/>
      <c r="E1498" s="67"/>
      <c r="F1498" s="67"/>
      <c r="G1498" s="67"/>
      <c r="H1498" s="67"/>
      <c r="I1498" s="67"/>
      <c r="J1498" s="67"/>
      <c r="K1498" s="67"/>
      <c r="L1498" s="67"/>
      <c r="M1498" s="67"/>
      <c r="N1498" s="67"/>
      <c r="O1498" s="67"/>
      <c r="P1498" s="67"/>
      <c r="Q1498" s="67"/>
      <c r="R1498" s="67"/>
      <c r="S1498" s="67"/>
      <c r="T1498" s="67"/>
      <c r="U1498" s="67"/>
      <c r="V1498" s="67"/>
      <c r="W1498" s="67"/>
      <c r="X1498" s="67"/>
      <c r="Y1498" s="67"/>
      <c r="Z1498" s="67"/>
      <c r="AA1498" s="67"/>
      <c r="AB1498" s="67"/>
      <c r="AC1498" s="67"/>
      <c r="AD1498" s="67"/>
      <c r="AE1498" s="67"/>
      <c r="AF1498" s="67"/>
      <c r="AG1498" s="67"/>
    </row>
    <row r="1499" spans="1:33">
      <c r="A1499" s="9"/>
      <c r="B1499" s="67"/>
      <c r="C1499" s="67"/>
      <c r="D1499" s="67"/>
      <c r="E1499" s="67"/>
      <c r="F1499" s="67"/>
      <c r="G1499" s="67"/>
      <c r="H1499" s="67"/>
      <c r="I1499" s="67"/>
      <c r="J1499" s="67"/>
      <c r="K1499" s="67"/>
      <c r="L1499" s="67"/>
      <c r="M1499" s="67"/>
      <c r="N1499" s="67"/>
      <c r="O1499" s="67"/>
      <c r="P1499" s="67"/>
      <c r="Q1499" s="67"/>
      <c r="R1499" s="67"/>
      <c r="S1499" s="67"/>
      <c r="T1499" s="67"/>
      <c r="U1499" s="67"/>
      <c r="V1499" s="67"/>
      <c r="W1499" s="67"/>
      <c r="X1499" s="67"/>
      <c r="Y1499" s="67"/>
      <c r="Z1499" s="67"/>
      <c r="AA1499" s="67"/>
      <c r="AB1499" s="67"/>
      <c r="AC1499" s="67"/>
      <c r="AD1499" s="67"/>
      <c r="AE1499" s="67"/>
      <c r="AF1499" s="67"/>
      <c r="AG1499" s="67"/>
    </row>
    <row r="1500" spans="1:33">
      <c r="A1500" s="9"/>
      <c r="B1500" s="67"/>
      <c r="C1500" s="67"/>
      <c r="D1500" s="67"/>
      <c r="E1500" s="67"/>
      <c r="F1500" s="67"/>
      <c r="G1500" s="67"/>
      <c r="H1500" s="67"/>
      <c r="I1500" s="67"/>
      <c r="J1500" s="67"/>
      <c r="K1500" s="67"/>
      <c r="L1500" s="67"/>
      <c r="M1500" s="67"/>
      <c r="N1500" s="67"/>
      <c r="O1500" s="67"/>
      <c r="P1500" s="67"/>
      <c r="Q1500" s="67"/>
      <c r="R1500" s="67"/>
      <c r="S1500" s="67"/>
      <c r="T1500" s="67"/>
      <c r="U1500" s="67"/>
      <c r="V1500" s="67"/>
      <c r="W1500" s="67"/>
      <c r="X1500" s="67"/>
      <c r="Y1500" s="67"/>
      <c r="Z1500" s="67"/>
      <c r="AA1500" s="67"/>
      <c r="AB1500" s="67"/>
      <c r="AC1500" s="67"/>
      <c r="AD1500" s="67"/>
      <c r="AE1500" s="67"/>
      <c r="AF1500" s="67"/>
      <c r="AG1500" s="67"/>
    </row>
    <row r="1501" spans="1:33">
      <c r="A1501" s="9"/>
      <c r="B1501" s="67"/>
      <c r="C1501" s="67"/>
      <c r="D1501" s="67"/>
      <c r="E1501" s="67"/>
      <c r="F1501" s="67"/>
      <c r="G1501" s="67"/>
      <c r="H1501" s="67"/>
      <c r="I1501" s="67"/>
      <c r="J1501" s="67"/>
      <c r="K1501" s="67"/>
      <c r="L1501" s="67"/>
      <c r="M1501" s="67"/>
      <c r="N1501" s="67"/>
      <c r="O1501" s="67"/>
      <c r="P1501" s="67"/>
      <c r="Q1501" s="67"/>
      <c r="R1501" s="67"/>
      <c r="S1501" s="67"/>
      <c r="T1501" s="67"/>
      <c r="U1501" s="67"/>
      <c r="V1501" s="67"/>
      <c r="W1501" s="67"/>
      <c r="X1501" s="67"/>
      <c r="Y1501" s="67"/>
      <c r="Z1501" s="67"/>
      <c r="AA1501" s="67"/>
      <c r="AB1501" s="67"/>
      <c r="AC1501" s="67"/>
      <c r="AD1501" s="67"/>
      <c r="AE1501" s="67"/>
      <c r="AF1501" s="67"/>
      <c r="AG1501" s="67"/>
    </row>
    <row r="1502" spans="1:33">
      <c r="A1502" s="9"/>
      <c r="B1502" s="67"/>
      <c r="C1502" s="67"/>
      <c r="D1502" s="67"/>
      <c r="E1502" s="67"/>
      <c r="F1502" s="67"/>
      <c r="G1502" s="67"/>
      <c r="H1502" s="67"/>
      <c r="I1502" s="67"/>
      <c r="J1502" s="67"/>
      <c r="K1502" s="67"/>
      <c r="L1502" s="67"/>
      <c r="M1502" s="67"/>
      <c r="N1502" s="67"/>
      <c r="O1502" s="67"/>
      <c r="P1502" s="67"/>
      <c r="Q1502" s="67"/>
      <c r="R1502" s="67"/>
      <c r="S1502" s="67"/>
      <c r="T1502" s="67"/>
      <c r="U1502" s="67"/>
      <c r="V1502" s="67"/>
      <c r="W1502" s="67"/>
      <c r="X1502" s="67"/>
      <c r="Y1502" s="67"/>
      <c r="Z1502" s="67"/>
      <c r="AA1502" s="67"/>
      <c r="AB1502" s="67"/>
      <c r="AC1502" s="67"/>
      <c r="AD1502" s="67"/>
      <c r="AE1502" s="67"/>
      <c r="AF1502" s="67"/>
      <c r="AG1502" s="67"/>
    </row>
    <row r="1503" spans="1:33">
      <c r="A1503" s="9"/>
      <c r="B1503" s="67"/>
      <c r="C1503" s="67"/>
      <c r="D1503" s="67"/>
      <c r="E1503" s="67"/>
      <c r="F1503" s="67"/>
      <c r="G1503" s="67"/>
      <c r="H1503" s="67"/>
      <c r="I1503" s="67"/>
      <c r="J1503" s="67"/>
      <c r="K1503" s="67"/>
      <c r="L1503" s="67"/>
      <c r="M1503" s="67"/>
      <c r="N1503" s="67"/>
      <c r="O1503" s="67"/>
      <c r="P1503" s="67"/>
      <c r="Q1503" s="67"/>
      <c r="R1503" s="67"/>
      <c r="S1503" s="67"/>
      <c r="T1503" s="67"/>
      <c r="U1503" s="67"/>
      <c r="V1503" s="67"/>
      <c r="W1503" s="67"/>
      <c r="X1503" s="67"/>
      <c r="Y1503" s="67"/>
      <c r="Z1503" s="67"/>
      <c r="AA1503" s="67"/>
      <c r="AB1503" s="67"/>
      <c r="AC1503" s="67"/>
      <c r="AD1503" s="67"/>
      <c r="AE1503" s="67"/>
      <c r="AF1503" s="67"/>
      <c r="AG1503" s="67"/>
    </row>
    <row r="1504" spans="1:33">
      <c r="A1504" s="9"/>
      <c r="B1504" s="67"/>
      <c r="C1504" s="67"/>
      <c r="D1504" s="67"/>
      <c r="E1504" s="67"/>
      <c r="F1504" s="67"/>
      <c r="G1504" s="67"/>
      <c r="H1504" s="67"/>
      <c r="I1504" s="67"/>
      <c r="J1504" s="67"/>
      <c r="K1504" s="67"/>
      <c r="L1504" s="67"/>
      <c r="M1504" s="67"/>
      <c r="N1504" s="67"/>
      <c r="O1504" s="67"/>
      <c r="P1504" s="67"/>
      <c r="Q1504" s="67"/>
      <c r="R1504" s="67"/>
      <c r="S1504" s="67"/>
      <c r="T1504" s="67"/>
      <c r="U1504" s="67"/>
      <c r="V1504" s="67"/>
      <c r="W1504" s="67"/>
      <c r="X1504" s="67"/>
      <c r="Y1504" s="67"/>
      <c r="Z1504" s="67"/>
      <c r="AA1504" s="67"/>
      <c r="AB1504" s="67"/>
      <c r="AC1504" s="67"/>
      <c r="AD1504" s="67"/>
      <c r="AE1504" s="67"/>
      <c r="AF1504" s="67"/>
      <c r="AG1504" s="67"/>
    </row>
    <row r="1505" spans="1:33">
      <c r="A1505" s="9"/>
      <c r="B1505" s="67"/>
      <c r="C1505" s="67"/>
      <c r="D1505" s="67"/>
      <c r="E1505" s="67"/>
      <c r="F1505" s="67"/>
      <c r="G1505" s="67"/>
      <c r="H1505" s="67"/>
      <c r="I1505" s="67"/>
      <c r="J1505" s="67"/>
      <c r="K1505" s="67"/>
      <c r="L1505" s="67"/>
      <c r="M1505" s="67"/>
      <c r="N1505" s="67"/>
      <c r="O1505" s="67"/>
      <c r="P1505" s="67"/>
      <c r="Q1505" s="67"/>
      <c r="R1505" s="67"/>
      <c r="S1505" s="67"/>
      <c r="T1505" s="67"/>
      <c r="U1505" s="67"/>
      <c r="V1505" s="67"/>
      <c r="W1505" s="67"/>
      <c r="X1505" s="67"/>
      <c r="Y1505" s="67"/>
      <c r="Z1505" s="67"/>
      <c r="AA1505" s="67"/>
      <c r="AB1505" s="67"/>
      <c r="AC1505" s="67"/>
      <c r="AD1505" s="67"/>
      <c r="AE1505" s="67"/>
      <c r="AF1505" s="67"/>
      <c r="AG1505" s="67"/>
    </row>
    <row r="1506" spans="1:33">
      <c r="A1506" s="9"/>
      <c r="B1506" s="67"/>
      <c r="C1506" s="67"/>
      <c r="D1506" s="67"/>
      <c r="E1506" s="67"/>
      <c r="F1506" s="67"/>
      <c r="G1506" s="67"/>
      <c r="H1506" s="67"/>
      <c r="I1506" s="67"/>
      <c r="J1506" s="67"/>
      <c r="K1506" s="67"/>
      <c r="L1506" s="67"/>
      <c r="M1506" s="67"/>
      <c r="N1506" s="67"/>
      <c r="O1506" s="67"/>
      <c r="P1506" s="67"/>
      <c r="Q1506" s="67"/>
      <c r="R1506" s="67"/>
      <c r="S1506" s="67"/>
      <c r="T1506" s="67"/>
      <c r="U1506" s="67"/>
      <c r="V1506" s="67"/>
      <c r="W1506" s="67"/>
      <c r="X1506" s="67"/>
      <c r="Y1506" s="67"/>
      <c r="Z1506" s="67"/>
      <c r="AA1506" s="67"/>
      <c r="AB1506" s="67"/>
      <c r="AC1506" s="67"/>
      <c r="AD1506" s="67"/>
      <c r="AE1506" s="67"/>
      <c r="AF1506" s="67"/>
      <c r="AG1506" s="67"/>
    </row>
    <row r="1507" spans="1:33">
      <c r="A1507" s="9"/>
      <c r="B1507" s="67"/>
      <c r="C1507" s="67"/>
      <c r="D1507" s="67"/>
      <c r="E1507" s="67"/>
      <c r="F1507" s="67"/>
      <c r="G1507" s="67"/>
      <c r="H1507" s="67"/>
      <c r="I1507" s="67"/>
      <c r="J1507" s="67"/>
      <c r="K1507" s="67"/>
      <c r="L1507" s="67"/>
      <c r="M1507" s="67"/>
      <c r="N1507" s="67"/>
      <c r="O1507" s="67"/>
      <c r="P1507" s="67"/>
      <c r="Q1507" s="67"/>
      <c r="R1507" s="67"/>
      <c r="S1507" s="67"/>
      <c r="T1507" s="67"/>
      <c r="U1507" s="67"/>
      <c r="V1507" s="67"/>
      <c r="W1507" s="67"/>
      <c r="X1507" s="67"/>
      <c r="Y1507" s="67"/>
      <c r="Z1507" s="67"/>
      <c r="AA1507" s="67"/>
      <c r="AB1507" s="67"/>
      <c r="AC1507" s="67"/>
      <c r="AD1507" s="67"/>
      <c r="AE1507" s="67"/>
      <c r="AF1507" s="67"/>
      <c r="AG1507" s="67"/>
    </row>
    <row r="1508" spans="1:33">
      <c r="A1508" s="9"/>
      <c r="B1508" s="67"/>
      <c r="C1508" s="67"/>
      <c r="D1508" s="67"/>
      <c r="E1508" s="67"/>
      <c r="F1508" s="67"/>
      <c r="G1508" s="67"/>
      <c r="H1508" s="67"/>
      <c r="I1508" s="67"/>
      <c r="J1508" s="67"/>
      <c r="K1508" s="67"/>
      <c r="L1508" s="67"/>
      <c r="M1508" s="67"/>
      <c r="N1508" s="67"/>
      <c r="O1508" s="67"/>
      <c r="P1508" s="67"/>
      <c r="Q1508" s="67"/>
      <c r="R1508" s="67"/>
      <c r="S1508" s="67"/>
      <c r="T1508" s="67"/>
      <c r="U1508" s="67"/>
      <c r="V1508" s="67"/>
      <c r="W1508" s="67"/>
      <c r="X1508" s="67"/>
      <c r="Y1508" s="67"/>
      <c r="Z1508" s="67"/>
      <c r="AA1508" s="67"/>
      <c r="AB1508" s="67"/>
      <c r="AC1508" s="67"/>
      <c r="AD1508" s="67"/>
      <c r="AE1508" s="67"/>
      <c r="AF1508" s="67"/>
      <c r="AG1508" s="67"/>
    </row>
    <row r="1509" spans="1:33">
      <c r="A1509" s="9"/>
      <c r="B1509" s="67"/>
      <c r="C1509" s="67"/>
      <c r="D1509" s="67"/>
      <c r="E1509" s="67"/>
      <c r="F1509" s="67"/>
      <c r="G1509" s="67"/>
      <c r="H1509" s="67"/>
      <c r="I1509" s="67"/>
      <c r="J1509" s="67"/>
      <c r="K1509" s="67"/>
      <c r="L1509" s="67"/>
      <c r="M1509" s="67"/>
      <c r="N1509" s="67"/>
      <c r="O1509" s="67"/>
      <c r="P1509" s="67"/>
      <c r="Q1509" s="67"/>
      <c r="R1509" s="67"/>
      <c r="S1509" s="67"/>
      <c r="T1509" s="67"/>
      <c r="U1509" s="67"/>
      <c r="V1509" s="67"/>
      <c r="W1509" s="67"/>
      <c r="X1509" s="67"/>
      <c r="Y1509" s="67"/>
      <c r="Z1509" s="67"/>
      <c r="AA1509" s="67"/>
      <c r="AB1509" s="67"/>
      <c r="AC1509" s="67"/>
      <c r="AD1509" s="67"/>
      <c r="AE1509" s="67"/>
      <c r="AF1509" s="67"/>
      <c r="AG1509" s="67"/>
    </row>
    <row r="1510" spans="1:33">
      <c r="A1510" s="9"/>
      <c r="B1510" s="67"/>
      <c r="C1510" s="67"/>
      <c r="D1510" s="67"/>
      <c r="E1510" s="67"/>
      <c r="F1510" s="67"/>
      <c r="G1510" s="67"/>
      <c r="H1510" s="67"/>
      <c r="I1510" s="67"/>
      <c r="J1510" s="67"/>
      <c r="K1510" s="67"/>
      <c r="L1510" s="67"/>
      <c r="M1510" s="67"/>
      <c r="N1510" s="67"/>
      <c r="O1510" s="67"/>
      <c r="P1510" s="67"/>
      <c r="Q1510" s="67"/>
      <c r="R1510" s="67"/>
      <c r="S1510" s="67"/>
      <c r="T1510" s="67"/>
      <c r="U1510" s="67"/>
      <c r="V1510" s="67"/>
      <c r="W1510" s="67"/>
      <c r="X1510" s="67"/>
      <c r="Y1510" s="67"/>
      <c r="Z1510" s="67"/>
      <c r="AA1510" s="67"/>
      <c r="AB1510" s="67"/>
      <c r="AC1510" s="67"/>
      <c r="AD1510" s="67"/>
      <c r="AE1510" s="67"/>
      <c r="AF1510" s="67"/>
      <c r="AG1510" s="67"/>
    </row>
    <row r="1511" spans="1:33">
      <c r="A1511" s="9"/>
      <c r="B1511" s="67"/>
      <c r="C1511" s="67"/>
      <c r="D1511" s="67"/>
      <c r="E1511" s="67"/>
      <c r="F1511" s="67"/>
      <c r="G1511" s="67"/>
      <c r="H1511" s="67"/>
      <c r="I1511" s="67"/>
      <c r="J1511" s="67"/>
      <c r="K1511" s="67"/>
      <c r="L1511" s="67"/>
      <c r="M1511" s="67"/>
      <c r="N1511" s="67"/>
      <c r="O1511" s="67"/>
      <c r="P1511" s="67"/>
      <c r="Q1511" s="67"/>
      <c r="R1511" s="67"/>
      <c r="S1511" s="67"/>
      <c r="T1511" s="67"/>
      <c r="U1511" s="67"/>
      <c r="V1511" s="67"/>
      <c r="W1511" s="67"/>
      <c r="X1511" s="67"/>
      <c r="Y1511" s="67"/>
      <c r="Z1511" s="67"/>
      <c r="AA1511" s="67"/>
      <c r="AB1511" s="67"/>
      <c r="AC1511" s="67"/>
      <c r="AD1511" s="67"/>
      <c r="AE1511" s="67"/>
      <c r="AF1511" s="67"/>
      <c r="AG1511" s="67"/>
    </row>
    <row r="1512" spans="1:33">
      <c r="A1512" s="9"/>
      <c r="B1512" s="67"/>
      <c r="C1512" s="67"/>
      <c r="D1512" s="67"/>
      <c r="E1512" s="67"/>
      <c r="F1512" s="67"/>
      <c r="G1512" s="67"/>
      <c r="H1512" s="67"/>
      <c r="I1512" s="67"/>
      <c r="J1512" s="67"/>
      <c r="K1512" s="67"/>
      <c r="L1512" s="67"/>
      <c r="M1512" s="67"/>
      <c r="N1512" s="67"/>
      <c r="O1512" s="67"/>
      <c r="P1512" s="67"/>
      <c r="Q1512" s="67"/>
      <c r="R1512" s="67"/>
      <c r="S1512" s="67"/>
      <c r="T1512" s="67"/>
      <c r="U1512" s="67"/>
      <c r="V1512" s="67"/>
      <c r="W1512" s="67"/>
      <c r="X1512" s="67"/>
      <c r="Y1512" s="67"/>
      <c r="Z1512" s="67"/>
      <c r="AA1512" s="67"/>
      <c r="AB1512" s="67"/>
      <c r="AC1512" s="67"/>
      <c r="AD1512" s="67"/>
      <c r="AE1512" s="67"/>
      <c r="AF1512" s="67"/>
      <c r="AG1512" s="67"/>
    </row>
    <row r="1513" spans="1:33">
      <c r="A1513" s="9"/>
      <c r="B1513" s="67"/>
      <c r="C1513" s="67"/>
      <c r="D1513" s="67"/>
      <c r="E1513" s="67"/>
      <c r="F1513" s="67"/>
      <c r="G1513" s="67"/>
      <c r="H1513" s="67"/>
      <c r="I1513" s="67"/>
      <c r="J1513" s="67"/>
      <c r="K1513" s="67"/>
      <c r="L1513" s="67"/>
      <c r="M1513" s="67"/>
      <c r="N1513" s="67"/>
      <c r="O1513" s="67"/>
      <c r="P1513" s="67"/>
      <c r="Q1513" s="67"/>
      <c r="R1513" s="67"/>
      <c r="S1513" s="67"/>
      <c r="T1513" s="67"/>
      <c r="U1513" s="67"/>
      <c r="V1513" s="67"/>
      <c r="W1513" s="67"/>
      <c r="X1513" s="67"/>
      <c r="Y1513" s="67"/>
      <c r="Z1513" s="67"/>
      <c r="AA1513" s="67"/>
      <c r="AB1513" s="67"/>
      <c r="AC1513" s="67"/>
      <c r="AD1513" s="67"/>
      <c r="AE1513" s="67"/>
      <c r="AF1513" s="67"/>
      <c r="AG1513" s="67"/>
    </row>
    <row r="1514" spans="1:33">
      <c r="A1514" s="9"/>
      <c r="B1514" s="67"/>
      <c r="C1514" s="67"/>
      <c r="D1514" s="67"/>
      <c r="E1514" s="67"/>
      <c r="F1514" s="67"/>
      <c r="G1514" s="67"/>
      <c r="H1514" s="67"/>
      <c r="I1514" s="67"/>
      <c r="J1514" s="67"/>
      <c r="K1514" s="67"/>
      <c r="L1514" s="67"/>
      <c r="M1514" s="67"/>
      <c r="N1514" s="67"/>
      <c r="O1514" s="67"/>
      <c r="P1514" s="67"/>
      <c r="Q1514" s="67"/>
      <c r="R1514" s="67"/>
      <c r="S1514" s="67"/>
      <c r="T1514" s="67"/>
      <c r="U1514" s="67"/>
      <c r="V1514" s="67"/>
      <c r="W1514" s="67"/>
      <c r="X1514" s="67"/>
      <c r="Y1514" s="67"/>
      <c r="Z1514" s="67"/>
      <c r="AA1514" s="67"/>
      <c r="AB1514" s="67"/>
      <c r="AC1514" s="67"/>
      <c r="AD1514" s="67"/>
      <c r="AE1514" s="67"/>
      <c r="AF1514" s="67"/>
      <c r="AG1514" s="67"/>
    </row>
    <row r="1515" spans="1:33">
      <c r="A1515" s="9"/>
      <c r="B1515" s="67"/>
      <c r="C1515" s="67"/>
      <c r="D1515" s="67"/>
      <c r="E1515" s="67"/>
      <c r="F1515" s="67"/>
      <c r="G1515" s="67"/>
      <c r="H1515" s="67"/>
      <c r="I1515" s="67"/>
      <c r="J1515" s="67"/>
      <c r="K1515" s="67"/>
      <c r="L1515" s="67"/>
      <c r="M1515" s="67"/>
      <c r="N1515" s="67"/>
      <c r="O1515" s="67"/>
      <c r="P1515" s="67"/>
      <c r="Q1515" s="67"/>
      <c r="R1515" s="67"/>
      <c r="S1515" s="67"/>
      <c r="T1515" s="67"/>
      <c r="U1515" s="67"/>
      <c r="V1515" s="67"/>
      <c r="W1515" s="67"/>
      <c r="X1515" s="67"/>
      <c r="Y1515" s="67"/>
      <c r="Z1515" s="67"/>
      <c r="AA1515" s="67"/>
      <c r="AB1515" s="67"/>
      <c r="AC1515" s="67"/>
      <c r="AD1515" s="67"/>
      <c r="AE1515" s="67"/>
      <c r="AF1515" s="67"/>
      <c r="AG1515" s="67"/>
    </row>
    <row r="1516" spans="1:33">
      <c r="A1516" s="9"/>
      <c r="B1516" s="67"/>
      <c r="C1516" s="67"/>
      <c r="D1516" s="67"/>
      <c r="E1516" s="67"/>
      <c r="F1516" s="67"/>
      <c r="G1516" s="67"/>
      <c r="H1516" s="67"/>
      <c r="I1516" s="67"/>
      <c r="J1516" s="67"/>
      <c r="K1516" s="67"/>
      <c r="L1516" s="67"/>
      <c r="M1516" s="67"/>
      <c r="N1516" s="67"/>
      <c r="O1516" s="67"/>
      <c r="P1516" s="67"/>
      <c r="Q1516" s="67"/>
      <c r="R1516" s="67"/>
      <c r="S1516" s="67"/>
      <c r="T1516" s="67"/>
      <c r="U1516" s="67"/>
      <c r="V1516" s="67"/>
      <c r="W1516" s="67"/>
      <c r="X1516" s="67"/>
      <c r="Y1516" s="67"/>
      <c r="Z1516" s="67"/>
      <c r="AA1516" s="67"/>
      <c r="AB1516" s="67"/>
      <c r="AC1516" s="67"/>
      <c r="AD1516" s="67"/>
      <c r="AE1516" s="67"/>
      <c r="AF1516" s="67"/>
      <c r="AG1516" s="67"/>
    </row>
    <row r="1517" spans="1:33">
      <c r="A1517" s="9"/>
      <c r="B1517" s="67"/>
      <c r="C1517" s="67"/>
      <c r="D1517" s="67"/>
      <c r="E1517" s="67"/>
      <c r="F1517" s="67"/>
      <c r="G1517" s="67"/>
      <c r="H1517" s="67"/>
      <c r="I1517" s="67"/>
      <c r="J1517" s="67"/>
      <c r="K1517" s="67"/>
      <c r="L1517" s="67"/>
      <c r="M1517" s="67"/>
      <c r="N1517" s="67"/>
      <c r="O1517" s="67"/>
      <c r="P1517" s="67"/>
      <c r="Q1517" s="67"/>
      <c r="R1517" s="67"/>
      <c r="S1517" s="67"/>
      <c r="T1517" s="67"/>
      <c r="U1517" s="67"/>
      <c r="V1517" s="67"/>
      <c r="W1517" s="67"/>
      <c r="X1517" s="67"/>
      <c r="Y1517" s="67"/>
      <c r="Z1517" s="67"/>
      <c r="AA1517" s="67"/>
      <c r="AB1517" s="67"/>
      <c r="AC1517" s="67"/>
      <c r="AD1517" s="67"/>
      <c r="AE1517" s="67"/>
      <c r="AF1517" s="67"/>
      <c r="AG1517" s="67"/>
    </row>
    <row r="1518" spans="1:33">
      <c r="A1518" s="9"/>
      <c r="B1518" s="67"/>
      <c r="C1518" s="67"/>
      <c r="D1518" s="67"/>
      <c r="E1518" s="67"/>
      <c r="F1518" s="67"/>
      <c r="G1518" s="67"/>
      <c r="H1518" s="67"/>
      <c r="I1518" s="67"/>
      <c r="J1518" s="67"/>
      <c r="K1518" s="67"/>
      <c r="L1518" s="67"/>
      <c r="M1518" s="67"/>
      <c r="N1518" s="67"/>
      <c r="O1518" s="67"/>
      <c r="P1518" s="67"/>
      <c r="Q1518" s="67"/>
      <c r="R1518" s="67"/>
      <c r="S1518" s="67"/>
      <c r="T1518" s="67"/>
      <c r="U1518" s="67"/>
      <c r="V1518" s="67"/>
      <c r="W1518" s="67"/>
      <c r="X1518" s="67"/>
      <c r="Y1518" s="67"/>
      <c r="Z1518" s="67"/>
      <c r="AA1518" s="67"/>
      <c r="AB1518" s="67"/>
      <c r="AC1518" s="67"/>
      <c r="AD1518" s="67"/>
      <c r="AE1518" s="67"/>
      <c r="AF1518" s="67"/>
      <c r="AG1518" s="67"/>
    </row>
    <row r="1519" spans="1:33">
      <c r="A1519" s="9"/>
      <c r="B1519" s="67"/>
      <c r="C1519" s="67"/>
      <c r="D1519" s="67"/>
      <c r="E1519" s="67"/>
      <c r="F1519" s="67"/>
      <c r="G1519" s="67"/>
      <c r="H1519" s="67"/>
      <c r="I1519" s="67"/>
      <c r="J1519" s="67"/>
      <c r="K1519" s="67"/>
      <c r="L1519" s="67"/>
      <c r="M1519" s="67"/>
      <c r="N1519" s="67"/>
      <c r="O1519" s="67"/>
      <c r="P1519" s="67"/>
      <c r="Q1519" s="67"/>
      <c r="R1519" s="67"/>
      <c r="S1519" s="67"/>
      <c r="T1519" s="67"/>
      <c r="U1519" s="67"/>
      <c r="V1519" s="67"/>
      <c r="W1519" s="67"/>
      <c r="X1519" s="67"/>
      <c r="Y1519" s="67"/>
      <c r="Z1519" s="67"/>
      <c r="AA1519" s="67"/>
      <c r="AB1519" s="67"/>
      <c r="AC1519" s="67"/>
      <c r="AD1519" s="67"/>
      <c r="AE1519" s="67"/>
      <c r="AF1519" s="67"/>
      <c r="AG1519" s="67"/>
    </row>
    <row r="1520" spans="1:33">
      <c r="A1520" s="9"/>
      <c r="B1520" s="67"/>
      <c r="C1520" s="67"/>
      <c r="D1520" s="67"/>
      <c r="E1520" s="67"/>
      <c r="F1520" s="67"/>
      <c r="G1520" s="67"/>
      <c r="H1520" s="67"/>
      <c r="I1520" s="67"/>
      <c r="J1520" s="67"/>
      <c r="K1520" s="67"/>
      <c r="L1520" s="67"/>
      <c r="M1520" s="67"/>
      <c r="N1520" s="67"/>
      <c r="O1520" s="67"/>
      <c r="P1520" s="67"/>
      <c r="Q1520" s="67"/>
      <c r="R1520" s="67"/>
      <c r="S1520" s="67"/>
      <c r="T1520" s="67"/>
      <c r="U1520" s="67"/>
      <c r="V1520" s="67"/>
      <c r="W1520" s="67"/>
      <c r="X1520" s="67"/>
      <c r="Y1520" s="67"/>
      <c r="Z1520" s="67"/>
      <c r="AA1520" s="67"/>
      <c r="AB1520" s="67"/>
      <c r="AC1520" s="67"/>
      <c r="AD1520" s="67"/>
      <c r="AE1520" s="67"/>
      <c r="AF1520" s="67"/>
      <c r="AG1520" s="67"/>
    </row>
    <row r="1521" spans="1:33">
      <c r="A1521" s="9"/>
      <c r="B1521" s="67"/>
      <c r="C1521" s="67"/>
      <c r="D1521" s="67"/>
      <c r="E1521" s="67"/>
      <c r="F1521" s="67"/>
      <c r="G1521" s="67"/>
      <c r="H1521" s="67"/>
      <c r="I1521" s="67"/>
      <c r="J1521" s="67"/>
      <c r="K1521" s="67"/>
      <c r="L1521" s="67"/>
      <c r="M1521" s="67"/>
      <c r="N1521" s="67"/>
      <c r="O1521" s="67"/>
      <c r="P1521" s="67"/>
      <c r="Q1521" s="67"/>
      <c r="R1521" s="67"/>
      <c r="S1521" s="67"/>
      <c r="T1521" s="67"/>
      <c r="U1521" s="67"/>
      <c r="V1521" s="67"/>
      <c r="W1521" s="67"/>
      <c r="X1521" s="67"/>
      <c r="Y1521" s="67"/>
      <c r="Z1521" s="67"/>
      <c r="AA1521" s="67"/>
      <c r="AB1521" s="67"/>
      <c r="AC1521" s="67"/>
      <c r="AD1521" s="67"/>
      <c r="AE1521" s="67"/>
      <c r="AF1521" s="67"/>
      <c r="AG1521" s="67"/>
    </row>
    <row r="1522" spans="1:33">
      <c r="A1522" s="9"/>
      <c r="B1522" s="67"/>
      <c r="C1522" s="67"/>
      <c r="D1522" s="67"/>
      <c r="E1522" s="67"/>
      <c r="F1522" s="67"/>
      <c r="G1522" s="67"/>
      <c r="H1522" s="67"/>
      <c r="I1522" s="67"/>
      <c r="J1522" s="67"/>
      <c r="K1522" s="67"/>
      <c r="L1522" s="67"/>
      <c r="M1522" s="67"/>
      <c r="N1522" s="67"/>
      <c r="O1522" s="67"/>
      <c r="P1522" s="67"/>
      <c r="Q1522" s="67"/>
      <c r="R1522" s="67"/>
      <c r="S1522" s="67"/>
      <c r="T1522" s="67"/>
      <c r="U1522" s="67"/>
      <c r="V1522" s="67"/>
      <c r="W1522" s="67"/>
      <c r="X1522" s="67"/>
      <c r="Y1522" s="67"/>
      <c r="Z1522" s="67"/>
      <c r="AA1522" s="67"/>
      <c r="AB1522" s="67"/>
      <c r="AC1522" s="67"/>
      <c r="AD1522" s="67"/>
      <c r="AE1522" s="67"/>
      <c r="AF1522" s="67"/>
      <c r="AG1522" s="67"/>
    </row>
    <row r="1523" spans="1:33">
      <c r="A1523" s="9"/>
      <c r="B1523" s="67"/>
      <c r="C1523" s="67"/>
      <c r="D1523" s="67"/>
      <c r="E1523" s="67"/>
      <c r="F1523" s="67"/>
      <c r="G1523" s="67"/>
      <c r="H1523" s="67"/>
      <c r="I1523" s="67"/>
      <c r="J1523" s="67"/>
      <c r="K1523" s="67"/>
      <c r="L1523" s="67"/>
      <c r="M1523" s="67"/>
      <c r="N1523" s="67"/>
      <c r="O1523" s="67"/>
      <c r="P1523" s="67"/>
      <c r="Q1523" s="67"/>
      <c r="R1523" s="67"/>
      <c r="S1523" s="67"/>
      <c r="T1523" s="67"/>
      <c r="U1523" s="67"/>
      <c r="V1523" s="67"/>
      <c r="W1523" s="67"/>
      <c r="X1523" s="67"/>
      <c r="Y1523" s="67"/>
      <c r="Z1523" s="67"/>
      <c r="AA1523" s="67"/>
      <c r="AB1523" s="67"/>
      <c r="AC1523" s="67"/>
      <c r="AD1523" s="67"/>
      <c r="AE1523" s="67"/>
      <c r="AF1523" s="67"/>
      <c r="AG1523" s="67"/>
    </row>
    <row r="1524" spans="1:33">
      <c r="A1524" s="9"/>
      <c r="B1524" s="67"/>
      <c r="C1524" s="67"/>
      <c r="D1524" s="67"/>
      <c r="E1524" s="67"/>
      <c r="F1524" s="67"/>
      <c r="G1524" s="67"/>
      <c r="H1524" s="67"/>
      <c r="I1524" s="67"/>
      <c r="J1524" s="67"/>
      <c r="K1524" s="67"/>
      <c r="L1524" s="67"/>
      <c r="M1524" s="67"/>
      <c r="N1524" s="67"/>
      <c r="O1524" s="67"/>
      <c r="P1524" s="67"/>
      <c r="Q1524" s="67"/>
      <c r="R1524" s="67"/>
      <c r="S1524" s="67"/>
      <c r="T1524" s="67"/>
      <c r="U1524" s="67"/>
      <c r="V1524" s="67"/>
      <c r="W1524" s="67"/>
      <c r="X1524" s="67"/>
      <c r="Y1524" s="67"/>
      <c r="Z1524" s="67"/>
      <c r="AA1524" s="67"/>
      <c r="AB1524" s="67"/>
      <c r="AC1524" s="67"/>
      <c r="AD1524" s="67"/>
      <c r="AE1524" s="67"/>
      <c r="AF1524" s="67"/>
      <c r="AG1524" s="67"/>
    </row>
    <row r="1525" spans="1:33">
      <c r="A1525" s="9"/>
      <c r="B1525" s="67"/>
      <c r="C1525" s="67"/>
      <c r="D1525" s="67"/>
      <c r="E1525" s="67"/>
      <c r="F1525" s="67"/>
      <c r="G1525" s="67"/>
      <c r="H1525" s="67"/>
      <c r="I1525" s="67"/>
      <c r="J1525" s="67"/>
      <c r="K1525" s="67"/>
      <c r="L1525" s="67"/>
      <c r="M1525" s="67"/>
      <c r="N1525" s="67"/>
      <c r="O1525" s="67"/>
      <c r="P1525" s="67"/>
      <c r="Q1525" s="67"/>
      <c r="R1525" s="67"/>
      <c r="S1525" s="67"/>
      <c r="T1525" s="67"/>
      <c r="U1525" s="67"/>
      <c r="V1525" s="67"/>
      <c r="W1525" s="67"/>
      <c r="X1525" s="67"/>
      <c r="Y1525" s="67"/>
      <c r="Z1525" s="67"/>
      <c r="AA1525" s="67"/>
      <c r="AB1525" s="67"/>
      <c r="AC1525" s="67"/>
      <c r="AD1525" s="67"/>
      <c r="AE1525" s="67"/>
      <c r="AF1525" s="67"/>
      <c r="AG1525" s="67"/>
    </row>
    <row r="1526" spans="1:33">
      <c r="A1526" s="9"/>
      <c r="B1526" s="67"/>
      <c r="C1526" s="67"/>
      <c r="D1526" s="67"/>
      <c r="E1526" s="67"/>
      <c r="F1526" s="67"/>
      <c r="G1526" s="67"/>
      <c r="H1526" s="67"/>
      <c r="I1526" s="67"/>
      <c r="J1526" s="67"/>
      <c r="K1526" s="67"/>
      <c r="L1526" s="67"/>
      <c r="M1526" s="67"/>
      <c r="N1526" s="67"/>
      <c r="O1526" s="67"/>
      <c r="P1526" s="67"/>
      <c r="Q1526" s="67"/>
      <c r="R1526" s="67"/>
      <c r="S1526" s="67"/>
      <c r="T1526" s="67"/>
      <c r="U1526" s="67"/>
      <c r="V1526" s="67"/>
      <c r="W1526" s="67"/>
      <c r="X1526" s="67"/>
      <c r="Y1526" s="67"/>
      <c r="Z1526" s="67"/>
      <c r="AA1526" s="67"/>
      <c r="AB1526" s="67"/>
      <c r="AC1526" s="67"/>
      <c r="AD1526" s="67"/>
      <c r="AE1526" s="67"/>
      <c r="AF1526" s="67"/>
      <c r="AG1526" s="67"/>
    </row>
    <row r="1527" spans="1:33">
      <c r="A1527" s="9"/>
      <c r="B1527" s="67"/>
      <c r="C1527" s="67"/>
      <c r="D1527" s="67"/>
      <c r="E1527" s="67"/>
      <c r="F1527" s="67"/>
      <c r="G1527" s="67"/>
      <c r="H1527" s="67"/>
      <c r="I1527" s="67"/>
      <c r="J1527" s="67"/>
      <c r="K1527" s="67"/>
      <c r="L1527" s="67"/>
      <c r="M1527" s="67"/>
      <c r="N1527" s="67"/>
      <c r="O1527" s="67"/>
      <c r="P1527" s="67"/>
      <c r="Q1527" s="67"/>
      <c r="R1527" s="67"/>
      <c r="S1527" s="67"/>
      <c r="T1527" s="67"/>
      <c r="U1527" s="67"/>
      <c r="V1527" s="67"/>
      <c r="W1527" s="67"/>
      <c r="X1527" s="67"/>
      <c r="Y1527" s="67"/>
      <c r="Z1527" s="67"/>
      <c r="AA1527" s="67"/>
      <c r="AB1527" s="67"/>
      <c r="AC1527" s="67"/>
      <c r="AD1527" s="67"/>
      <c r="AE1527" s="67"/>
      <c r="AF1527" s="67"/>
      <c r="AG1527" s="67"/>
    </row>
    <row r="1528" spans="1:33">
      <c r="A1528" s="9"/>
      <c r="B1528" s="67"/>
      <c r="C1528" s="67"/>
      <c r="D1528" s="67"/>
      <c r="E1528" s="67"/>
      <c r="F1528" s="67"/>
      <c r="G1528" s="67"/>
      <c r="H1528" s="67"/>
      <c r="I1528" s="67"/>
      <c r="J1528" s="67"/>
      <c r="K1528" s="67"/>
      <c r="L1528" s="67"/>
      <c r="M1528" s="67"/>
      <c r="N1528" s="67"/>
      <c r="O1528" s="67"/>
      <c r="P1528" s="67"/>
      <c r="Q1528" s="67"/>
      <c r="R1528" s="67"/>
      <c r="S1528" s="67"/>
      <c r="T1528" s="67"/>
      <c r="U1528" s="67"/>
      <c r="V1528" s="67"/>
      <c r="W1528" s="67"/>
      <c r="X1528" s="67"/>
      <c r="Y1528" s="67"/>
      <c r="Z1528" s="67"/>
      <c r="AA1528" s="67"/>
      <c r="AB1528" s="67"/>
      <c r="AC1528" s="67"/>
      <c r="AD1528" s="67"/>
      <c r="AE1528" s="67"/>
      <c r="AF1528" s="67"/>
      <c r="AG1528" s="67"/>
    </row>
    <row r="1529" spans="1:33">
      <c r="A1529" s="9"/>
      <c r="B1529" s="67"/>
      <c r="C1529" s="67"/>
      <c r="D1529" s="67"/>
      <c r="E1529" s="67"/>
      <c r="F1529" s="67"/>
      <c r="G1529" s="67"/>
      <c r="H1529" s="67"/>
      <c r="I1529" s="67"/>
      <c r="J1529" s="67"/>
      <c r="K1529" s="67"/>
      <c r="L1529" s="67"/>
      <c r="M1529" s="67"/>
      <c r="N1529" s="67"/>
      <c r="O1529" s="67"/>
      <c r="P1529" s="67"/>
      <c r="Q1529" s="67"/>
      <c r="R1529" s="67"/>
      <c r="S1529" s="67"/>
      <c r="T1529" s="67"/>
      <c r="U1529" s="67"/>
      <c r="V1529" s="67"/>
      <c r="W1529" s="67"/>
      <c r="X1529" s="67"/>
      <c r="Y1529" s="67"/>
      <c r="Z1529" s="67"/>
      <c r="AA1529" s="67"/>
      <c r="AB1529" s="67"/>
      <c r="AC1529" s="67"/>
      <c r="AD1529" s="67"/>
      <c r="AE1529" s="67"/>
      <c r="AF1529" s="67"/>
      <c r="AG1529" s="67"/>
    </row>
    <row r="1530" spans="1:33">
      <c r="A1530" s="9"/>
      <c r="B1530" s="67"/>
      <c r="C1530" s="67"/>
      <c r="D1530" s="67"/>
      <c r="E1530" s="67"/>
      <c r="F1530" s="67"/>
      <c r="G1530" s="67"/>
      <c r="H1530" s="67"/>
      <c r="I1530" s="67"/>
      <c r="J1530" s="67"/>
      <c r="K1530" s="67"/>
      <c r="L1530" s="67"/>
      <c r="M1530" s="67"/>
      <c r="N1530" s="67"/>
      <c r="O1530" s="67"/>
      <c r="P1530" s="67"/>
      <c r="Q1530" s="67"/>
      <c r="R1530" s="67"/>
      <c r="S1530" s="67"/>
      <c r="T1530" s="67"/>
      <c r="U1530" s="67"/>
      <c r="V1530" s="67"/>
      <c r="W1530" s="67"/>
      <c r="X1530" s="67"/>
      <c r="Y1530" s="67"/>
      <c r="Z1530" s="67"/>
      <c r="AA1530" s="67"/>
      <c r="AB1530" s="67"/>
      <c r="AC1530" s="67"/>
      <c r="AD1530" s="67"/>
      <c r="AE1530" s="67"/>
      <c r="AF1530" s="67"/>
      <c r="AG1530" s="67"/>
    </row>
    <row r="1531" spans="1:33">
      <c r="A1531" s="9"/>
      <c r="B1531" s="67"/>
      <c r="C1531" s="67"/>
      <c r="D1531" s="67"/>
      <c r="E1531" s="67"/>
      <c r="F1531" s="67"/>
      <c r="G1531" s="67"/>
      <c r="H1531" s="67"/>
      <c r="I1531" s="67"/>
      <c r="J1531" s="67"/>
      <c r="K1531" s="67"/>
      <c r="L1531" s="67"/>
      <c r="M1531" s="67"/>
      <c r="N1531" s="67"/>
      <c r="O1531" s="67"/>
      <c r="P1531" s="67"/>
      <c r="Q1531" s="67"/>
      <c r="R1531" s="67"/>
      <c r="S1531" s="67"/>
      <c r="T1531" s="67"/>
      <c r="U1531" s="67"/>
      <c r="V1531" s="67"/>
      <c r="W1531" s="67"/>
      <c r="X1531" s="67"/>
      <c r="Y1531" s="67"/>
      <c r="Z1531" s="67"/>
      <c r="AA1531" s="67"/>
      <c r="AB1531" s="67"/>
      <c r="AC1531" s="67"/>
      <c r="AD1531" s="67"/>
      <c r="AE1531" s="67"/>
      <c r="AF1531" s="67"/>
      <c r="AG1531" s="67"/>
    </row>
    <row r="1532" spans="1:33">
      <c r="A1532" s="9"/>
      <c r="B1532" s="67"/>
      <c r="C1532" s="67"/>
      <c r="D1532" s="67"/>
      <c r="E1532" s="67"/>
      <c r="F1532" s="67"/>
      <c r="G1532" s="67"/>
      <c r="H1532" s="67"/>
      <c r="I1532" s="67"/>
      <c r="J1532" s="67"/>
      <c r="K1532" s="67"/>
      <c r="L1532" s="67"/>
      <c r="M1532" s="67"/>
      <c r="N1532" s="67"/>
      <c r="O1532" s="67"/>
      <c r="P1532" s="67"/>
      <c r="Q1532" s="67"/>
      <c r="R1532" s="67"/>
      <c r="S1532" s="67"/>
      <c r="T1532" s="67"/>
      <c r="U1532" s="67"/>
      <c r="V1532" s="67"/>
      <c r="W1532" s="67"/>
      <c r="X1532" s="67"/>
      <c r="Y1532" s="67"/>
      <c r="Z1532" s="67"/>
      <c r="AA1532" s="67"/>
      <c r="AB1532" s="67"/>
      <c r="AC1532" s="67"/>
      <c r="AD1532" s="67"/>
      <c r="AE1532" s="67"/>
      <c r="AF1532" s="67"/>
      <c r="AG1532" s="67"/>
    </row>
    <row r="1533" spans="1:33">
      <c r="A1533" s="9"/>
      <c r="B1533" s="67"/>
      <c r="C1533" s="67"/>
      <c r="D1533" s="67"/>
      <c r="E1533" s="67"/>
      <c r="F1533" s="67"/>
      <c r="G1533" s="67"/>
      <c r="H1533" s="67"/>
      <c r="I1533" s="67"/>
      <c r="J1533" s="67"/>
      <c r="K1533" s="67"/>
      <c r="L1533" s="67"/>
      <c r="M1533" s="67"/>
      <c r="N1533" s="67"/>
      <c r="O1533" s="67"/>
      <c r="P1533" s="67"/>
      <c r="Q1533" s="67"/>
      <c r="R1533" s="67"/>
      <c r="S1533" s="67"/>
      <c r="T1533" s="67"/>
      <c r="U1533" s="67"/>
      <c r="V1533" s="67"/>
      <c r="W1533" s="67"/>
      <c r="X1533" s="67"/>
      <c r="Y1533" s="67"/>
      <c r="Z1533" s="67"/>
      <c r="AA1533" s="67"/>
      <c r="AB1533" s="67"/>
      <c r="AC1533" s="67"/>
      <c r="AD1533" s="67"/>
      <c r="AE1533" s="67"/>
      <c r="AF1533" s="67"/>
      <c r="AG1533" s="67"/>
    </row>
    <row r="1534" spans="1:33">
      <c r="A1534" s="9"/>
      <c r="B1534" s="67"/>
      <c r="C1534" s="67"/>
      <c r="D1534" s="67"/>
      <c r="E1534" s="67"/>
      <c r="F1534" s="67"/>
      <c r="G1534" s="67"/>
      <c r="H1534" s="67"/>
      <c r="I1534" s="67"/>
      <c r="J1534" s="67"/>
      <c r="K1534" s="67"/>
      <c r="L1534" s="67"/>
      <c r="M1534" s="67"/>
      <c r="N1534" s="67"/>
      <c r="O1534" s="67"/>
      <c r="P1534" s="67"/>
      <c r="Q1534" s="67"/>
      <c r="R1534" s="67"/>
      <c r="S1534" s="67"/>
      <c r="T1534" s="67"/>
      <c r="U1534" s="67"/>
      <c r="V1534" s="67"/>
      <c r="W1534" s="67"/>
      <c r="X1534" s="67"/>
      <c r="Y1534" s="67"/>
      <c r="Z1534" s="67"/>
      <c r="AA1534" s="67"/>
      <c r="AB1534" s="67"/>
      <c r="AC1534" s="67"/>
      <c r="AD1534" s="67"/>
      <c r="AE1534" s="67"/>
      <c r="AF1534" s="67"/>
      <c r="AG1534" s="67"/>
    </row>
    <row r="1535" spans="1:33">
      <c r="A1535" s="9"/>
      <c r="B1535" s="67"/>
      <c r="C1535" s="67"/>
      <c r="D1535" s="67"/>
      <c r="E1535" s="67"/>
      <c r="F1535" s="67"/>
      <c r="G1535" s="67"/>
      <c r="H1535" s="67"/>
      <c r="I1535" s="67"/>
      <c r="J1535" s="67"/>
      <c r="K1535" s="67"/>
      <c r="L1535" s="67"/>
      <c r="M1535" s="67"/>
      <c r="N1535" s="67"/>
      <c r="O1535" s="67"/>
      <c r="P1535" s="67"/>
      <c r="Q1535" s="67"/>
      <c r="R1535" s="67"/>
      <c r="S1535" s="67"/>
      <c r="T1535" s="67"/>
      <c r="U1535" s="67"/>
      <c r="V1535" s="67"/>
      <c r="W1535" s="67"/>
      <c r="X1535" s="67"/>
      <c r="Y1535" s="67"/>
      <c r="Z1535" s="67"/>
      <c r="AA1535" s="67"/>
      <c r="AB1535" s="67"/>
      <c r="AC1535" s="67"/>
      <c r="AD1535" s="67"/>
      <c r="AE1535" s="67"/>
      <c r="AF1535" s="67"/>
      <c r="AG1535" s="67"/>
    </row>
    <row r="1536" spans="1:33">
      <c r="A1536" s="9"/>
      <c r="B1536" s="67"/>
      <c r="C1536" s="67"/>
      <c r="D1536" s="67"/>
      <c r="E1536" s="67"/>
      <c r="F1536" s="67"/>
      <c r="G1536" s="67"/>
      <c r="H1536" s="67"/>
      <c r="I1536" s="67"/>
      <c r="J1536" s="67"/>
      <c r="K1536" s="67"/>
      <c r="L1536" s="67"/>
      <c r="M1536" s="67"/>
      <c r="N1536" s="67"/>
      <c r="O1536" s="67"/>
      <c r="P1536" s="67"/>
      <c r="Q1536" s="67"/>
      <c r="R1536" s="67"/>
      <c r="S1536" s="67"/>
      <c r="T1536" s="67"/>
      <c r="U1536" s="67"/>
      <c r="V1536" s="67"/>
      <c r="W1536" s="67"/>
      <c r="X1536" s="67"/>
      <c r="Y1536" s="67"/>
      <c r="Z1536" s="67"/>
      <c r="AA1536" s="67"/>
      <c r="AB1536" s="67"/>
      <c r="AC1536" s="67"/>
      <c r="AD1536" s="67"/>
      <c r="AE1536" s="67"/>
      <c r="AF1536" s="67"/>
      <c r="AG1536" s="67"/>
    </row>
    <row r="1537" spans="1:33">
      <c r="A1537" s="9"/>
      <c r="B1537" s="67"/>
      <c r="C1537" s="67"/>
      <c r="D1537" s="67"/>
      <c r="E1537" s="67"/>
      <c r="F1537" s="67"/>
      <c r="G1537" s="67"/>
      <c r="H1537" s="67"/>
      <c r="I1537" s="67"/>
      <c r="J1537" s="67"/>
      <c r="K1537" s="67"/>
      <c r="L1537" s="67"/>
      <c r="M1537" s="67"/>
      <c r="N1537" s="67"/>
      <c r="O1537" s="67"/>
      <c r="P1537" s="67"/>
      <c r="Q1537" s="67"/>
      <c r="R1537" s="67"/>
      <c r="S1537" s="67"/>
      <c r="T1537" s="67"/>
      <c r="U1537" s="67"/>
      <c r="V1537" s="67"/>
      <c r="W1537" s="67"/>
      <c r="X1537" s="67"/>
      <c r="Y1537" s="67"/>
      <c r="Z1537" s="67"/>
      <c r="AA1537" s="67"/>
      <c r="AB1537" s="67"/>
      <c r="AC1537" s="67"/>
      <c r="AD1537" s="67"/>
      <c r="AE1537" s="67"/>
      <c r="AF1537" s="67"/>
      <c r="AG1537" s="67"/>
    </row>
    <row r="1538" spans="1:33">
      <c r="A1538" s="9"/>
      <c r="B1538" s="67"/>
      <c r="C1538" s="67"/>
      <c r="D1538" s="67"/>
      <c r="E1538" s="67"/>
      <c r="F1538" s="67"/>
      <c r="G1538" s="67"/>
      <c r="H1538" s="67"/>
      <c r="I1538" s="67"/>
      <c r="J1538" s="67"/>
      <c r="K1538" s="67"/>
      <c r="L1538" s="67"/>
      <c r="M1538" s="67"/>
      <c r="N1538" s="67"/>
      <c r="O1538" s="67"/>
      <c r="P1538" s="67"/>
      <c r="Q1538" s="67"/>
      <c r="R1538" s="67"/>
      <c r="S1538" s="67"/>
      <c r="T1538" s="67"/>
      <c r="U1538" s="67"/>
      <c r="V1538" s="67"/>
      <c r="W1538" s="67"/>
      <c r="X1538" s="67"/>
      <c r="Y1538" s="67"/>
      <c r="Z1538" s="67"/>
      <c r="AA1538" s="67"/>
      <c r="AB1538" s="67"/>
      <c r="AC1538" s="67"/>
      <c r="AD1538" s="67"/>
      <c r="AE1538" s="67"/>
      <c r="AF1538" s="67"/>
      <c r="AG1538" s="67"/>
    </row>
    <row r="1539" spans="1:33">
      <c r="A1539" s="9"/>
      <c r="B1539" s="67"/>
      <c r="C1539" s="67"/>
      <c r="D1539" s="67"/>
      <c r="E1539" s="67"/>
      <c r="F1539" s="67"/>
      <c r="G1539" s="67"/>
      <c r="H1539" s="67"/>
      <c r="I1539" s="67"/>
      <c r="J1539" s="67"/>
      <c r="K1539" s="67"/>
      <c r="L1539" s="67"/>
      <c r="M1539" s="67"/>
      <c r="N1539" s="67"/>
      <c r="O1539" s="67"/>
      <c r="P1539" s="67"/>
      <c r="Q1539" s="67"/>
      <c r="R1539" s="67"/>
      <c r="S1539" s="67"/>
      <c r="T1539" s="67"/>
      <c r="U1539" s="67"/>
      <c r="V1539" s="67"/>
      <c r="W1539" s="67"/>
      <c r="X1539" s="67"/>
      <c r="Y1539" s="67"/>
      <c r="Z1539" s="67"/>
      <c r="AA1539" s="67"/>
      <c r="AB1539" s="67"/>
      <c r="AC1539" s="67"/>
      <c r="AD1539" s="67"/>
      <c r="AE1539" s="67"/>
      <c r="AF1539" s="67"/>
      <c r="AG1539" s="67"/>
    </row>
    <row r="1540" spans="1:33">
      <c r="A1540" s="9"/>
      <c r="B1540" s="67"/>
      <c r="C1540" s="67"/>
      <c r="D1540" s="67"/>
      <c r="E1540" s="67"/>
      <c r="F1540" s="67"/>
      <c r="G1540" s="67"/>
      <c r="H1540" s="67"/>
      <c r="I1540" s="67"/>
      <c r="J1540" s="67"/>
      <c r="K1540" s="67"/>
      <c r="L1540" s="67"/>
      <c r="M1540" s="67"/>
      <c r="N1540" s="67"/>
      <c r="O1540" s="67"/>
      <c r="P1540" s="67"/>
      <c r="Q1540" s="67"/>
      <c r="R1540" s="67"/>
      <c r="S1540" s="67"/>
      <c r="T1540" s="67"/>
      <c r="U1540" s="67"/>
      <c r="V1540" s="67"/>
      <c r="W1540" s="67"/>
      <c r="X1540" s="67"/>
      <c r="Y1540" s="67"/>
      <c r="Z1540" s="67"/>
      <c r="AA1540" s="67"/>
      <c r="AB1540" s="67"/>
      <c r="AC1540" s="67"/>
      <c r="AD1540" s="67"/>
      <c r="AE1540" s="67"/>
      <c r="AF1540" s="67"/>
      <c r="AG1540" s="67"/>
    </row>
    <row r="1541" spans="1:33">
      <c r="A1541" s="9"/>
      <c r="B1541" s="67"/>
      <c r="C1541" s="67"/>
      <c r="D1541" s="67"/>
      <c r="E1541" s="67"/>
      <c r="F1541" s="67"/>
      <c r="G1541" s="67"/>
      <c r="H1541" s="67"/>
      <c r="I1541" s="67"/>
      <c r="J1541" s="67"/>
      <c r="K1541" s="67"/>
      <c r="L1541" s="67"/>
      <c r="M1541" s="67"/>
      <c r="N1541" s="67"/>
      <c r="O1541" s="67"/>
      <c r="P1541" s="67"/>
      <c r="Q1541" s="67"/>
      <c r="R1541" s="67"/>
      <c r="S1541" s="67"/>
      <c r="T1541" s="67"/>
      <c r="U1541" s="67"/>
      <c r="V1541" s="67"/>
      <c r="W1541" s="67"/>
      <c r="X1541" s="67"/>
      <c r="Y1541" s="67"/>
      <c r="Z1541" s="67"/>
      <c r="AA1541" s="67"/>
      <c r="AB1541" s="67"/>
      <c r="AC1541" s="67"/>
      <c r="AD1541" s="67"/>
      <c r="AE1541" s="67"/>
      <c r="AF1541" s="67"/>
      <c r="AG1541" s="67"/>
    </row>
    <row r="1542" spans="1:33">
      <c r="A1542" s="9"/>
      <c r="B1542" s="67"/>
      <c r="C1542" s="67"/>
      <c r="D1542" s="67"/>
      <c r="E1542" s="67"/>
      <c r="F1542" s="67"/>
      <c r="G1542" s="67"/>
      <c r="H1542" s="67"/>
      <c r="I1542" s="67"/>
      <c r="J1542" s="67"/>
      <c r="K1542" s="67"/>
      <c r="L1542" s="67"/>
      <c r="M1542" s="67"/>
      <c r="N1542" s="67"/>
      <c r="O1542" s="67"/>
      <c r="P1542" s="67"/>
      <c r="Q1542" s="67"/>
      <c r="R1542" s="67"/>
      <c r="S1542" s="67"/>
      <c r="T1542" s="67"/>
      <c r="U1542" s="67"/>
      <c r="V1542" s="67"/>
      <c r="W1542" s="67"/>
      <c r="X1542" s="67"/>
      <c r="Y1542" s="67"/>
      <c r="Z1542" s="67"/>
      <c r="AA1542" s="67"/>
      <c r="AB1542" s="67"/>
      <c r="AC1542" s="67"/>
      <c r="AD1542" s="67"/>
      <c r="AE1542" s="67"/>
      <c r="AF1542" s="67"/>
      <c r="AG1542" s="67"/>
    </row>
    <row r="1543" spans="1:33">
      <c r="A1543" s="9"/>
      <c r="B1543" s="67"/>
      <c r="C1543" s="67"/>
      <c r="D1543" s="67"/>
      <c r="E1543" s="67"/>
      <c r="F1543" s="67"/>
      <c r="G1543" s="67"/>
      <c r="H1543" s="67"/>
      <c r="I1543" s="67"/>
      <c r="J1543" s="67"/>
      <c r="K1543" s="67"/>
      <c r="L1543" s="67"/>
      <c r="M1543" s="67"/>
      <c r="N1543" s="67"/>
      <c r="O1543" s="67"/>
      <c r="P1543" s="67"/>
      <c r="Q1543" s="67"/>
      <c r="R1543" s="67"/>
      <c r="S1543" s="67"/>
      <c r="T1543" s="67"/>
      <c r="U1543" s="67"/>
      <c r="V1543" s="67"/>
      <c r="W1543" s="67"/>
      <c r="X1543" s="67"/>
      <c r="Y1543" s="67"/>
      <c r="Z1543" s="67"/>
      <c r="AA1543" s="67"/>
      <c r="AB1543" s="67"/>
      <c r="AC1543" s="67"/>
      <c r="AD1543" s="67"/>
      <c r="AE1543" s="67"/>
      <c r="AF1543" s="67"/>
      <c r="AG1543" s="67"/>
    </row>
    <row r="1544" spans="1:33">
      <c r="A1544" s="9"/>
      <c r="B1544" s="67"/>
      <c r="C1544" s="67"/>
      <c r="D1544" s="67"/>
      <c r="E1544" s="67"/>
      <c r="F1544" s="67"/>
      <c r="G1544" s="67"/>
      <c r="H1544" s="67"/>
      <c r="I1544" s="67"/>
      <c r="J1544" s="67"/>
      <c r="K1544" s="67"/>
      <c r="L1544" s="67"/>
      <c r="M1544" s="67"/>
      <c r="N1544" s="67"/>
      <c r="O1544" s="67"/>
      <c r="P1544" s="67"/>
      <c r="Q1544" s="67"/>
      <c r="R1544" s="67"/>
      <c r="S1544" s="67"/>
      <c r="T1544" s="67"/>
      <c r="U1544" s="67"/>
      <c r="V1544" s="67"/>
      <c r="W1544" s="67"/>
      <c r="X1544" s="67"/>
      <c r="Y1544" s="67"/>
      <c r="Z1544" s="67"/>
      <c r="AA1544" s="67"/>
      <c r="AB1544" s="67"/>
      <c r="AC1544" s="67"/>
      <c r="AD1544" s="67"/>
      <c r="AE1544" s="67"/>
      <c r="AF1544" s="67"/>
      <c r="AG1544" s="67"/>
    </row>
    <row r="1545" spans="1:33">
      <c r="A1545" s="9"/>
      <c r="B1545" s="67"/>
      <c r="C1545" s="67"/>
      <c r="D1545" s="67"/>
      <c r="E1545" s="67"/>
      <c r="F1545" s="67"/>
      <c r="G1545" s="67"/>
      <c r="H1545" s="67"/>
      <c r="I1545" s="67"/>
      <c r="J1545" s="67"/>
      <c r="K1545" s="67"/>
      <c r="L1545" s="67"/>
      <c r="M1545" s="67"/>
      <c r="N1545" s="67"/>
      <c r="O1545" s="67"/>
      <c r="P1545" s="67"/>
      <c r="Q1545" s="67"/>
      <c r="R1545" s="67"/>
      <c r="S1545" s="67"/>
      <c r="T1545" s="67"/>
      <c r="U1545" s="67"/>
      <c r="V1545" s="67"/>
      <c r="W1545" s="67"/>
      <c r="X1545" s="67"/>
      <c r="Y1545" s="67"/>
      <c r="Z1545" s="67"/>
      <c r="AA1545" s="67"/>
      <c r="AB1545" s="67"/>
      <c r="AC1545" s="67"/>
      <c r="AD1545" s="67"/>
      <c r="AE1545" s="67"/>
      <c r="AF1545" s="67"/>
      <c r="AG1545" s="67"/>
    </row>
    <row r="1546" spans="1:33">
      <c r="A1546" s="9"/>
      <c r="B1546" s="67"/>
      <c r="C1546" s="67"/>
      <c r="D1546" s="67"/>
      <c r="E1546" s="67"/>
      <c r="F1546" s="67"/>
      <c r="G1546" s="67"/>
      <c r="H1546" s="67"/>
      <c r="I1546" s="67"/>
      <c r="J1546" s="67"/>
      <c r="K1546" s="67"/>
      <c r="L1546" s="67"/>
      <c r="M1546" s="67"/>
      <c r="N1546" s="67"/>
      <c r="O1546" s="67"/>
      <c r="P1546" s="67"/>
      <c r="Q1546" s="67"/>
      <c r="R1546" s="67"/>
      <c r="S1546" s="67"/>
      <c r="T1546" s="67"/>
      <c r="U1546" s="67"/>
      <c r="V1546" s="67"/>
      <c r="W1546" s="67"/>
      <c r="X1546" s="67"/>
      <c r="Y1546" s="67"/>
      <c r="Z1546" s="67"/>
      <c r="AA1546" s="67"/>
      <c r="AB1546" s="67"/>
      <c r="AC1546" s="67"/>
      <c r="AD1546" s="67"/>
      <c r="AE1546" s="67"/>
      <c r="AF1546" s="67"/>
      <c r="AG1546" s="67"/>
    </row>
    <row r="1547" spans="1:33">
      <c r="A1547" s="9"/>
      <c r="B1547" s="67"/>
      <c r="C1547" s="67"/>
      <c r="D1547" s="67"/>
      <c r="E1547" s="67"/>
      <c r="F1547" s="67"/>
      <c r="G1547" s="67"/>
      <c r="H1547" s="67"/>
      <c r="I1547" s="67"/>
      <c r="J1547" s="67"/>
      <c r="K1547" s="67"/>
      <c r="L1547" s="67"/>
      <c r="M1547" s="67"/>
      <c r="N1547" s="67"/>
      <c r="O1547" s="67"/>
      <c r="P1547" s="67"/>
      <c r="Q1547" s="67"/>
      <c r="R1547" s="67"/>
      <c r="S1547" s="67"/>
      <c r="T1547" s="67"/>
      <c r="U1547" s="67"/>
      <c r="V1547" s="67"/>
      <c r="W1547" s="67"/>
      <c r="X1547" s="67"/>
      <c r="Y1547" s="67"/>
      <c r="Z1547" s="67"/>
      <c r="AA1547" s="67"/>
      <c r="AB1547" s="67"/>
      <c r="AC1547" s="67"/>
      <c r="AD1547" s="67"/>
      <c r="AE1547" s="67"/>
      <c r="AF1547" s="67"/>
      <c r="AG1547" s="67"/>
    </row>
    <row r="1548" spans="1:33">
      <c r="A1548" s="9"/>
      <c r="B1548" s="67"/>
      <c r="C1548" s="67"/>
      <c r="D1548" s="67"/>
      <c r="E1548" s="67"/>
      <c r="F1548" s="67"/>
      <c r="G1548" s="67"/>
      <c r="H1548" s="67"/>
      <c r="I1548" s="67"/>
      <c r="J1548" s="67"/>
      <c r="K1548" s="67"/>
      <c r="L1548" s="67"/>
      <c r="M1548" s="67"/>
      <c r="N1548" s="67"/>
      <c r="O1548" s="67"/>
      <c r="P1548" s="67"/>
      <c r="Q1548" s="67"/>
      <c r="R1548" s="67"/>
      <c r="S1548" s="67"/>
      <c r="T1548" s="67"/>
      <c r="U1548" s="67"/>
      <c r="V1548" s="67"/>
      <c r="W1548" s="67"/>
      <c r="X1548" s="67"/>
      <c r="Y1548" s="67"/>
      <c r="Z1548" s="67"/>
      <c r="AA1548" s="67"/>
      <c r="AB1548" s="67"/>
      <c r="AC1548" s="67"/>
      <c r="AD1548" s="67"/>
      <c r="AE1548" s="67"/>
      <c r="AF1548" s="67"/>
      <c r="AG1548" s="67"/>
    </row>
    <row r="1549" spans="1:33">
      <c r="A1549" s="9"/>
      <c r="B1549" s="67"/>
      <c r="C1549" s="67"/>
      <c r="D1549" s="67"/>
      <c r="E1549" s="67"/>
      <c r="F1549" s="67"/>
      <c r="G1549" s="67"/>
      <c r="H1549" s="67"/>
      <c r="I1549" s="67"/>
      <c r="J1549" s="67"/>
      <c r="K1549" s="67"/>
      <c r="L1549" s="67"/>
      <c r="M1549" s="67"/>
      <c r="N1549" s="67"/>
      <c r="O1549" s="67"/>
      <c r="P1549" s="67"/>
      <c r="Q1549" s="67"/>
      <c r="R1549" s="67"/>
      <c r="S1549" s="67"/>
      <c r="T1549" s="67"/>
      <c r="U1549" s="67"/>
      <c r="V1549" s="67"/>
      <c r="W1549" s="67"/>
      <c r="X1549" s="67"/>
      <c r="Y1549" s="67"/>
      <c r="Z1549" s="67"/>
      <c r="AA1549" s="67"/>
      <c r="AB1549" s="67"/>
      <c r="AC1549" s="67"/>
      <c r="AD1549" s="67"/>
      <c r="AE1549" s="67"/>
      <c r="AF1549" s="67"/>
      <c r="AG1549" s="67"/>
    </row>
    <row r="1550" spans="1:33">
      <c r="A1550" s="9"/>
      <c r="B1550" s="67"/>
      <c r="C1550" s="67"/>
      <c r="D1550" s="67"/>
      <c r="E1550" s="67"/>
      <c r="F1550" s="67"/>
      <c r="G1550" s="67"/>
      <c r="H1550" s="67"/>
      <c r="I1550" s="67"/>
      <c r="J1550" s="67"/>
      <c r="K1550" s="67"/>
      <c r="L1550" s="67"/>
      <c r="M1550" s="67"/>
      <c r="N1550" s="67"/>
      <c r="O1550" s="67"/>
      <c r="P1550" s="67"/>
      <c r="Q1550" s="67"/>
      <c r="R1550" s="67"/>
      <c r="S1550" s="67"/>
      <c r="T1550" s="67"/>
      <c r="U1550" s="67"/>
      <c r="V1550" s="67"/>
      <c r="W1550" s="67"/>
      <c r="X1550" s="67"/>
      <c r="Y1550" s="67"/>
      <c r="Z1550" s="67"/>
      <c r="AA1550" s="67"/>
      <c r="AB1550" s="67"/>
      <c r="AC1550" s="67"/>
      <c r="AD1550" s="67"/>
      <c r="AE1550" s="67"/>
      <c r="AF1550" s="67"/>
      <c r="AG1550" s="67"/>
    </row>
    <row r="1551" spans="1:33">
      <c r="A1551" s="9"/>
      <c r="B1551" s="67"/>
      <c r="C1551" s="67"/>
      <c r="D1551" s="67"/>
      <c r="E1551" s="67"/>
      <c r="F1551" s="67"/>
      <c r="G1551" s="67"/>
      <c r="H1551" s="67"/>
      <c r="I1551" s="67"/>
      <c r="J1551" s="67"/>
      <c r="K1551" s="67"/>
      <c r="L1551" s="67"/>
      <c r="M1551" s="67"/>
      <c r="N1551" s="67"/>
      <c r="O1551" s="67"/>
      <c r="P1551" s="67"/>
      <c r="Q1551" s="67"/>
      <c r="R1551" s="67"/>
      <c r="S1551" s="67"/>
      <c r="T1551" s="67"/>
      <c r="U1551" s="67"/>
      <c r="V1551" s="67"/>
      <c r="W1551" s="67"/>
      <c r="X1551" s="67"/>
      <c r="Y1551" s="67"/>
      <c r="Z1551" s="67"/>
      <c r="AA1551" s="67"/>
      <c r="AB1551" s="67"/>
      <c r="AC1551" s="67"/>
      <c r="AD1551" s="67"/>
      <c r="AE1551" s="67"/>
      <c r="AF1551" s="67"/>
      <c r="AG1551" s="67"/>
    </row>
    <row r="1552" spans="1:33">
      <c r="A1552" s="9"/>
      <c r="B1552" s="67"/>
      <c r="C1552" s="67"/>
      <c r="D1552" s="67"/>
      <c r="E1552" s="67"/>
      <c r="F1552" s="67"/>
      <c r="G1552" s="67"/>
      <c r="H1552" s="67"/>
      <c r="I1552" s="67"/>
      <c r="J1552" s="67"/>
      <c r="K1552" s="67"/>
      <c r="L1552" s="67"/>
      <c r="M1552" s="67"/>
      <c r="N1552" s="67"/>
      <c r="O1552" s="67"/>
      <c r="P1552" s="67"/>
      <c r="Q1552" s="67"/>
      <c r="R1552" s="67"/>
      <c r="S1552" s="67"/>
      <c r="T1552" s="67"/>
      <c r="U1552" s="67"/>
      <c r="V1552" s="67"/>
      <c r="W1552" s="67"/>
      <c r="X1552" s="67"/>
      <c r="Y1552" s="67"/>
      <c r="Z1552" s="67"/>
      <c r="AA1552" s="67"/>
      <c r="AB1552" s="67"/>
      <c r="AC1552" s="67"/>
      <c r="AD1552" s="67"/>
      <c r="AE1552" s="67"/>
      <c r="AF1552" s="67"/>
      <c r="AG1552" s="67"/>
    </row>
    <row r="1553" spans="1:33">
      <c r="A1553" s="9"/>
      <c r="B1553" s="67"/>
      <c r="C1553" s="67"/>
      <c r="D1553" s="67"/>
      <c r="E1553" s="67"/>
      <c r="F1553" s="67"/>
      <c r="G1553" s="67"/>
      <c r="H1553" s="67"/>
      <c r="I1553" s="67"/>
      <c r="J1553" s="67"/>
      <c r="K1553" s="67"/>
      <c r="L1553" s="67"/>
      <c r="M1553" s="67"/>
      <c r="N1553" s="67"/>
      <c r="O1553" s="67"/>
      <c r="P1553" s="67"/>
      <c r="Q1553" s="67"/>
      <c r="R1553" s="67"/>
      <c r="S1553" s="67"/>
      <c r="T1553" s="67"/>
      <c r="U1553" s="67"/>
      <c r="V1553" s="67"/>
      <c r="W1553" s="67"/>
      <c r="X1553" s="67"/>
      <c r="Y1553" s="67"/>
      <c r="Z1553" s="67"/>
      <c r="AA1553" s="67"/>
      <c r="AB1553" s="67"/>
      <c r="AC1553" s="67"/>
      <c r="AD1553" s="67"/>
      <c r="AE1553" s="67"/>
      <c r="AF1553" s="67"/>
      <c r="AG1553" s="67"/>
    </row>
    <row r="1554" spans="1:33">
      <c r="A1554" s="9"/>
      <c r="B1554" s="67"/>
      <c r="C1554" s="67"/>
      <c r="D1554" s="67"/>
      <c r="E1554" s="67"/>
      <c r="F1554" s="67"/>
      <c r="G1554" s="67"/>
      <c r="H1554" s="67"/>
      <c r="I1554" s="67"/>
      <c r="J1554" s="67"/>
      <c r="K1554" s="67"/>
      <c r="L1554" s="67"/>
      <c r="M1554" s="67"/>
      <c r="N1554" s="67"/>
      <c r="O1554" s="67"/>
      <c r="P1554" s="67"/>
      <c r="Q1554" s="67"/>
      <c r="R1554" s="67"/>
      <c r="S1554" s="67"/>
      <c r="T1554" s="67"/>
      <c r="U1554" s="67"/>
      <c r="V1554" s="67"/>
      <c r="W1554" s="67"/>
      <c r="X1554" s="67"/>
      <c r="Y1554" s="67"/>
      <c r="Z1554" s="67"/>
      <c r="AA1554" s="67"/>
      <c r="AB1554" s="67"/>
      <c r="AC1554" s="67"/>
      <c r="AD1554" s="67"/>
      <c r="AE1554" s="67"/>
      <c r="AF1554" s="67"/>
      <c r="AG1554" s="67"/>
    </row>
    <row r="1555" spans="1:33">
      <c r="A1555" s="9"/>
      <c r="B1555" s="67"/>
      <c r="C1555" s="67"/>
      <c r="D1555" s="67"/>
      <c r="E1555" s="67"/>
      <c r="F1555" s="67"/>
      <c r="G1555" s="67"/>
      <c r="H1555" s="67"/>
      <c r="I1555" s="67"/>
      <c r="J1555" s="67"/>
      <c r="K1555" s="67"/>
      <c r="L1555" s="67"/>
      <c r="M1555" s="67"/>
      <c r="N1555" s="67"/>
      <c r="O1555" s="67"/>
      <c r="P1555" s="67"/>
      <c r="Q1555" s="67"/>
      <c r="R1555" s="67"/>
      <c r="S1555" s="67"/>
      <c r="T1555" s="67"/>
      <c r="U1555" s="67"/>
      <c r="V1555" s="67"/>
      <c r="W1555" s="67"/>
      <c r="X1555" s="67"/>
      <c r="Y1555" s="67"/>
      <c r="Z1555" s="67"/>
      <c r="AA1555" s="67"/>
      <c r="AB1555" s="67"/>
      <c r="AC1555" s="67"/>
      <c r="AD1555" s="67"/>
      <c r="AE1555" s="67"/>
      <c r="AF1555" s="67"/>
      <c r="AG1555" s="67"/>
    </row>
    <row r="1556" spans="1:33">
      <c r="A1556" s="9"/>
      <c r="B1556" s="67"/>
      <c r="C1556" s="67"/>
      <c r="D1556" s="67"/>
      <c r="E1556" s="67"/>
      <c r="F1556" s="67"/>
      <c r="G1556" s="67"/>
      <c r="H1556" s="67"/>
      <c r="I1556" s="67"/>
      <c r="J1556" s="67"/>
      <c r="K1556" s="67"/>
      <c r="L1556" s="67"/>
      <c r="M1556" s="67"/>
      <c r="N1556" s="67"/>
      <c r="O1556" s="67"/>
      <c r="P1556" s="67"/>
      <c r="Q1556" s="67"/>
      <c r="R1556" s="67"/>
      <c r="S1556" s="67"/>
      <c r="T1556" s="67"/>
      <c r="U1556" s="67"/>
      <c r="V1556" s="67"/>
      <c r="W1556" s="67"/>
      <c r="X1556" s="67"/>
      <c r="Y1556" s="67"/>
      <c r="Z1556" s="67"/>
      <c r="AA1556" s="67"/>
      <c r="AB1556" s="67"/>
      <c r="AC1556" s="67"/>
      <c r="AD1556" s="67"/>
      <c r="AE1556" s="67"/>
      <c r="AF1556" s="67"/>
      <c r="AG1556" s="67"/>
    </row>
    <row r="1557" spans="1:33">
      <c r="A1557" s="9"/>
      <c r="B1557" s="67"/>
      <c r="C1557" s="67"/>
      <c r="D1557" s="67"/>
      <c r="E1557" s="67"/>
      <c r="F1557" s="67"/>
      <c r="G1557" s="67"/>
      <c r="H1557" s="67"/>
      <c r="I1557" s="67"/>
      <c r="J1557" s="67"/>
      <c r="K1557" s="67"/>
      <c r="L1557" s="67"/>
      <c r="M1557" s="67"/>
      <c r="N1557" s="67"/>
      <c r="O1557" s="67"/>
      <c r="P1557" s="67"/>
      <c r="Q1557" s="67"/>
      <c r="R1557" s="67"/>
      <c r="S1557" s="67"/>
      <c r="T1557" s="67"/>
      <c r="U1557" s="67"/>
      <c r="V1557" s="67"/>
      <c r="W1557" s="67"/>
      <c r="X1557" s="67"/>
      <c r="Y1557" s="67"/>
      <c r="Z1557" s="67"/>
      <c r="AA1557" s="67"/>
      <c r="AB1557" s="67"/>
      <c r="AC1557" s="67"/>
      <c r="AD1557" s="67"/>
      <c r="AE1557" s="67"/>
      <c r="AF1557" s="67"/>
      <c r="AG1557" s="67"/>
    </row>
    <row r="1558" spans="1:33">
      <c r="A1558" s="9"/>
      <c r="B1558" s="67"/>
      <c r="C1558" s="67"/>
      <c r="D1558" s="67"/>
      <c r="E1558" s="67"/>
      <c r="F1558" s="67"/>
      <c r="G1558" s="67"/>
      <c r="H1558" s="67"/>
      <c r="I1558" s="67"/>
      <c r="J1558" s="67"/>
      <c r="K1558" s="67"/>
      <c r="L1558" s="67"/>
      <c r="M1558" s="67"/>
      <c r="N1558" s="67"/>
      <c r="O1558" s="67"/>
      <c r="P1558" s="67"/>
      <c r="Q1558" s="67"/>
      <c r="R1558" s="67"/>
      <c r="S1558" s="67"/>
      <c r="T1558" s="67"/>
      <c r="U1558" s="67"/>
      <c r="V1558" s="67"/>
      <c r="W1558" s="67"/>
      <c r="X1558" s="67"/>
      <c r="Y1558" s="67"/>
      <c r="Z1558" s="67"/>
      <c r="AA1558" s="67"/>
      <c r="AB1558" s="67"/>
      <c r="AC1558" s="67"/>
      <c r="AD1558" s="67"/>
      <c r="AE1558" s="67"/>
      <c r="AF1558" s="67"/>
      <c r="AG1558" s="67"/>
    </row>
    <row r="1559" spans="1:33">
      <c r="A1559" s="9"/>
      <c r="B1559" s="67"/>
      <c r="C1559" s="67"/>
      <c r="D1559" s="67"/>
      <c r="E1559" s="67"/>
      <c r="F1559" s="67"/>
      <c r="G1559" s="67"/>
      <c r="H1559" s="67"/>
      <c r="I1559" s="67"/>
      <c r="J1559" s="67"/>
      <c r="K1559" s="67"/>
      <c r="L1559" s="67"/>
      <c r="M1559" s="67"/>
      <c r="N1559" s="67"/>
      <c r="O1559" s="67"/>
      <c r="P1559" s="67"/>
      <c r="Q1559" s="67"/>
      <c r="R1559" s="67"/>
      <c r="S1559" s="67"/>
      <c r="T1559" s="67"/>
      <c r="U1559" s="67"/>
      <c r="V1559" s="67"/>
      <c r="W1559" s="67"/>
      <c r="X1559" s="67"/>
      <c r="Y1559" s="67"/>
      <c r="Z1559" s="67"/>
      <c r="AA1559" s="67"/>
      <c r="AB1559" s="67"/>
      <c r="AC1559" s="67"/>
      <c r="AD1559" s="67"/>
      <c r="AE1559" s="67"/>
      <c r="AF1559" s="67"/>
      <c r="AG1559" s="67"/>
    </row>
    <row r="1560" spans="1:33">
      <c r="A1560" s="9"/>
      <c r="B1560" s="67"/>
      <c r="C1560" s="67"/>
      <c r="D1560" s="67"/>
      <c r="E1560" s="67"/>
      <c r="F1560" s="67"/>
      <c r="G1560" s="67"/>
      <c r="H1560" s="67"/>
      <c r="I1560" s="67"/>
      <c r="J1560" s="67"/>
      <c r="K1560" s="67"/>
      <c r="L1560" s="67"/>
      <c r="M1560" s="67"/>
      <c r="N1560" s="67"/>
      <c r="O1560" s="67"/>
      <c r="P1560" s="67"/>
      <c r="Q1560" s="67"/>
      <c r="R1560" s="67"/>
      <c r="S1560" s="67"/>
      <c r="T1560" s="67"/>
      <c r="U1560" s="67"/>
      <c r="V1560" s="67"/>
      <c r="W1560" s="67"/>
      <c r="X1560" s="67"/>
      <c r="Y1560" s="67"/>
      <c r="Z1560" s="67"/>
      <c r="AA1560" s="67"/>
      <c r="AB1560" s="67"/>
      <c r="AC1560" s="67"/>
      <c r="AD1560" s="67"/>
      <c r="AE1560" s="67"/>
      <c r="AF1560" s="67"/>
      <c r="AG1560" s="67"/>
    </row>
    <row r="1561" spans="1:33">
      <c r="A1561" s="9"/>
      <c r="B1561" s="67"/>
      <c r="C1561" s="67"/>
      <c r="D1561" s="67"/>
      <c r="E1561" s="67"/>
      <c r="F1561" s="67"/>
      <c r="G1561" s="67"/>
      <c r="H1561" s="67"/>
      <c r="I1561" s="67"/>
      <c r="J1561" s="67"/>
      <c r="K1561" s="67"/>
      <c r="L1561" s="67"/>
      <c r="M1561" s="67"/>
      <c r="N1561" s="67"/>
      <c r="O1561" s="67"/>
      <c r="P1561" s="67"/>
      <c r="Q1561" s="67"/>
      <c r="R1561" s="67"/>
      <c r="S1561" s="67"/>
      <c r="T1561" s="67"/>
      <c r="U1561" s="67"/>
      <c r="V1561" s="67"/>
      <c r="W1561" s="67"/>
      <c r="X1561" s="67"/>
      <c r="Y1561" s="67"/>
      <c r="Z1561" s="67"/>
      <c r="AA1561" s="67"/>
      <c r="AB1561" s="67"/>
      <c r="AC1561" s="67"/>
      <c r="AD1561" s="67"/>
      <c r="AE1561" s="67"/>
      <c r="AF1561" s="67"/>
      <c r="AG1561" s="67"/>
    </row>
    <row r="1562" spans="1:33">
      <c r="A1562" s="9"/>
      <c r="B1562" s="67"/>
      <c r="C1562" s="67"/>
      <c r="D1562" s="67"/>
      <c r="E1562" s="67"/>
      <c r="F1562" s="67"/>
      <c r="G1562" s="67"/>
      <c r="H1562" s="67"/>
      <c r="I1562" s="67"/>
      <c r="J1562" s="67"/>
      <c r="K1562" s="67"/>
      <c r="L1562" s="67"/>
      <c r="M1562" s="67"/>
      <c r="N1562" s="67"/>
      <c r="O1562" s="67"/>
      <c r="P1562" s="67"/>
      <c r="Q1562" s="67"/>
      <c r="R1562" s="67"/>
      <c r="S1562" s="67"/>
      <c r="T1562" s="67"/>
      <c r="U1562" s="67"/>
      <c r="V1562" s="67"/>
      <c r="W1562" s="67"/>
      <c r="X1562" s="67"/>
      <c r="Y1562" s="67"/>
      <c r="Z1562" s="67"/>
      <c r="AA1562" s="67"/>
      <c r="AB1562" s="67"/>
      <c r="AC1562" s="67"/>
      <c r="AD1562" s="67"/>
      <c r="AE1562" s="67"/>
      <c r="AF1562" s="67"/>
      <c r="AG1562" s="67"/>
    </row>
    <row r="1563" spans="1:33">
      <c r="A1563" s="9"/>
      <c r="B1563" s="67"/>
      <c r="C1563" s="67"/>
      <c r="D1563" s="67"/>
      <c r="E1563" s="67"/>
      <c r="F1563" s="67"/>
      <c r="G1563" s="67"/>
      <c r="H1563" s="67"/>
      <c r="I1563" s="67"/>
      <c r="J1563" s="67"/>
      <c r="K1563" s="67"/>
      <c r="L1563" s="67"/>
      <c r="M1563" s="67"/>
      <c r="N1563" s="67"/>
      <c r="O1563" s="67"/>
      <c r="P1563" s="67"/>
      <c r="Q1563" s="67"/>
      <c r="R1563" s="67"/>
      <c r="S1563" s="67"/>
      <c r="T1563" s="67"/>
      <c r="U1563" s="67"/>
      <c r="V1563" s="67"/>
      <c r="W1563" s="67"/>
      <c r="X1563" s="67"/>
      <c r="Y1563" s="67"/>
      <c r="Z1563" s="67"/>
      <c r="AA1563" s="67"/>
      <c r="AB1563" s="67"/>
      <c r="AC1563" s="67"/>
      <c r="AD1563" s="67"/>
      <c r="AE1563" s="67"/>
      <c r="AF1563" s="67"/>
      <c r="AG1563" s="67"/>
    </row>
    <row r="1564" spans="1:33">
      <c r="A1564" s="9"/>
      <c r="B1564" s="67"/>
      <c r="C1564" s="67"/>
      <c r="D1564" s="67"/>
      <c r="E1564" s="67"/>
      <c r="F1564" s="67"/>
      <c r="G1564" s="67"/>
      <c r="H1564" s="67"/>
      <c r="I1564" s="67"/>
      <c r="J1564" s="67"/>
      <c r="K1564" s="67"/>
      <c r="L1564" s="67"/>
      <c r="M1564" s="67"/>
      <c r="N1564" s="67"/>
      <c r="O1564" s="67"/>
      <c r="P1564" s="67"/>
      <c r="Q1564" s="67"/>
      <c r="R1564" s="67"/>
      <c r="S1564" s="67"/>
      <c r="T1564" s="67"/>
      <c r="U1564" s="67"/>
      <c r="V1564" s="67"/>
      <c r="W1564" s="67"/>
      <c r="X1564" s="67"/>
      <c r="Y1564" s="67"/>
      <c r="Z1564" s="67"/>
      <c r="AA1564" s="67"/>
      <c r="AB1564" s="67"/>
      <c r="AC1564" s="67"/>
      <c r="AD1564" s="67"/>
      <c r="AE1564" s="67"/>
      <c r="AF1564" s="67"/>
      <c r="AG1564" s="67"/>
    </row>
    <row r="1565" spans="1:33">
      <c r="A1565" s="9"/>
      <c r="B1565" s="67"/>
      <c r="C1565" s="67"/>
      <c r="D1565" s="67"/>
      <c r="E1565" s="67"/>
      <c r="F1565" s="67"/>
      <c r="G1565" s="67"/>
      <c r="H1565" s="67"/>
      <c r="I1565" s="67"/>
      <c r="J1565" s="67"/>
      <c r="K1565" s="67"/>
      <c r="L1565" s="67"/>
      <c r="M1565" s="67"/>
      <c r="N1565" s="67"/>
      <c r="O1565" s="67"/>
      <c r="P1565" s="67"/>
      <c r="Q1565" s="67"/>
      <c r="R1565" s="67"/>
      <c r="S1565" s="67"/>
      <c r="T1565" s="67"/>
      <c r="U1565" s="67"/>
      <c r="V1565" s="67"/>
      <c r="W1565" s="67"/>
      <c r="X1565" s="67"/>
      <c r="Y1565" s="67"/>
      <c r="Z1565" s="67"/>
      <c r="AA1565" s="67"/>
      <c r="AB1565" s="67"/>
      <c r="AC1565" s="67"/>
      <c r="AD1565" s="67"/>
      <c r="AE1565" s="67"/>
      <c r="AF1565" s="67"/>
      <c r="AG1565" s="67"/>
    </row>
    <row r="1566" spans="1:33">
      <c r="A1566" s="9"/>
      <c r="B1566" s="67"/>
      <c r="C1566" s="67"/>
      <c r="D1566" s="67"/>
      <c r="E1566" s="67"/>
      <c r="F1566" s="67"/>
      <c r="G1566" s="67"/>
      <c r="H1566" s="67"/>
      <c r="I1566" s="67"/>
      <c r="J1566" s="67"/>
      <c r="K1566" s="67"/>
      <c r="L1566" s="67"/>
      <c r="M1566" s="67"/>
      <c r="N1566" s="67"/>
      <c r="O1566" s="67"/>
      <c r="P1566" s="67"/>
      <c r="Q1566" s="67"/>
      <c r="R1566" s="67"/>
      <c r="S1566" s="67"/>
      <c r="T1566" s="67"/>
      <c r="U1566" s="67"/>
      <c r="V1566" s="67"/>
      <c r="W1566" s="67"/>
      <c r="X1566" s="67"/>
      <c r="Y1566" s="67"/>
      <c r="Z1566" s="67"/>
      <c r="AA1566" s="67"/>
      <c r="AB1566" s="67"/>
      <c r="AC1566" s="67"/>
      <c r="AD1566" s="67"/>
      <c r="AE1566" s="67"/>
      <c r="AF1566" s="67"/>
      <c r="AG1566" s="67"/>
    </row>
    <row r="1567" spans="1:33">
      <c r="A1567" s="9"/>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7"/>
      <c r="AD1567" s="67"/>
      <c r="AE1567" s="67"/>
      <c r="AF1567" s="67"/>
      <c r="AG1567" s="67"/>
    </row>
    <row r="1568" spans="1:33">
      <c r="A1568" s="9"/>
      <c r="B1568" s="67"/>
      <c r="C1568" s="67"/>
      <c r="D1568" s="67"/>
      <c r="E1568" s="67"/>
      <c r="F1568" s="67"/>
      <c r="G1568" s="67"/>
      <c r="H1568" s="67"/>
      <c r="I1568" s="67"/>
      <c r="J1568" s="67"/>
      <c r="K1568" s="67"/>
      <c r="L1568" s="67"/>
      <c r="M1568" s="67"/>
      <c r="N1568" s="67"/>
      <c r="O1568" s="67"/>
      <c r="P1568" s="67"/>
      <c r="Q1568" s="67"/>
      <c r="R1568" s="67"/>
      <c r="S1568" s="67"/>
      <c r="T1568" s="67"/>
      <c r="U1568" s="67"/>
      <c r="V1568" s="67"/>
      <c r="W1568" s="67"/>
      <c r="X1568" s="67"/>
      <c r="Y1568" s="67"/>
      <c r="Z1568" s="67"/>
      <c r="AA1568" s="67"/>
      <c r="AB1568" s="67"/>
      <c r="AC1568" s="67"/>
      <c r="AD1568" s="67"/>
      <c r="AE1568" s="67"/>
      <c r="AF1568" s="67"/>
      <c r="AG1568" s="67"/>
    </row>
    <row r="1569" spans="1:33">
      <c r="A1569" s="9"/>
      <c r="B1569" s="67"/>
      <c r="C1569" s="67"/>
      <c r="D1569" s="67"/>
      <c r="E1569" s="67"/>
      <c r="F1569" s="67"/>
      <c r="G1569" s="67"/>
      <c r="H1569" s="67"/>
      <c r="I1569" s="67"/>
      <c r="J1569" s="67"/>
      <c r="K1569" s="67"/>
      <c r="L1569" s="67"/>
      <c r="M1569" s="67"/>
      <c r="N1569" s="67"/>
      <c r="O1569" s="67"/>
      <c r="P1569" s="67"/>
      <c r="Q1569" s="67"/>
      <c r="R1569" s="67"/>
      <c r="S1569" s="67"/>
      <c r="T1569" s="67"/>
      <c r="U1569" s="67"/>
      <c r="V1569" s="67"/>
      <c r="W1569" s="67"/>
      <c r="X1569" s="67"/>
      <c r="Y1569" s="67"/>
      <c r="Z1569" s="67"/>
      <c r="AA1569" s="67"/>
      <c r="AB1569" s="67"/>
      <c r="AC1569" s="67"/>
      <c r="AD1569" s="67"/>
      <c r="AE1569" s="67"/>
      <c r="AF1569" s="67"/>
      <c r="AG1569" s="67"/>
    </row>
    <row r="1570" spans="1:33">
      <c r="A1570" s="9"/>
      <c r="B1570" s="67"/>
      <c r="C1570" s="67"/>
      <c r="D1570" s="67"/>
      <c r="E1570" s="67"/>
      <c r="F1570" s="67"/>
      <c r="G1570" s="67"/>
      <c r="H1570" s="67"/>
      <c r="I1570" s="67"/>
      <c r="J1570" s="67"/>
      <c r="K1570" s="67"/>
      <c r="L1570" s="67"/>
      <c r="M1570" s="67"/>
      <c r="N1570" s="67"/>
      <c r="O1570" s="67"/>
      <c r="P1570" s="67"/>
      <c r="Q1570" s="67"/>
      <c r="R1570" s="67"/>
      <c r="S1570" s="67"/>
      <c r="T1570" s="67"/>
      <c r="U1570" s="67"/>
      <c r="V1570" s="67"/>
      <c r="W1570" s="67"/>
      <c r="X1570" s="67"/>
      <c r="Y1570" s="67"/>
      <c r="Z1570" s="67"/>
      <c r="AA1570" s="67"/>
      <c r="AB1570" s="67"/>
      <c r="AC1570" s="67"/>
      <c r="AD1570" s="67"/>
      <c r="AE1570" s="67"/>
      <c r="AF1570" s="67"/>
      <c r="AG1570" s="67"/>
    </row>
    <row r="1571" spans="1:33">
      <c r="A1571" s="9"/>
      <c r="B1571" s="67"/>
      <c r="C1571" s="67"/>
      <c r="D1571" s="67"/>
      <c r="E1571" s="67"/>
      <c r="F1571" s="67"/>
      <c r="G1571" s="67"/>
      <c r="H1571" s="67"/>
      <c r="I1571" s="67"/>
      <c r="J1571" s="67"/>
      <c r="K1571" s="67"/>
      <c r="L1571" s="67"/>
      <c r="M1571" s="67"/>
      <c r="N1571" s="67"/>
      <c r="O1571" s="67"/>
      <c r="P1571" s="67"/>
      <c r="Q1571" s="67"/>
      <c r="R1571" s="67"/>
      <c r="S1571" s="67"/>
      <c r="T1571" s="67"/>
      <c r="U1571" s="67"/>
      <c r="V1571" s="67"/>
      <c r="W1571" s="67"/>
      <c r="X1571" s="67"/>
      <c r="Y1571" s="67"/>
      <c r="Z1571" s="67"/>
      <c r="AA1571" s="67"/>
      <c r="AB1571" s="67"/>
      <c r="AC1571" s="67"/>
      <c r="AD1571" s="67"/>
      <c r="AE1571" s="67"/>
      <c r="AF1571" s="67"/>
      <c r="AG1571" s="67"/>
    </row>
    <row r="1572" spans="1:33">
      <c r="A1572" s="9"/>
      <c r="B1572" s="67"/>
      <c r="C1572" s="67"/>
      <c r="D1572" s="67"/>
      <c r="E1572" s="67"/>
      <c r="F1572" s="67"/>
      <c r="G1572" s="67"/>
      <c r="H1572" s="67"/>
      <c r="I1572" s="67"/>
      <c r="J1572" s="67"/>
      <c r="K1572" s="67"/>
      <c r="L1572" s="67"/>
      <c r="M1572" s="67"/>
      <c r="N1572" s="67"/>
      <c r="O1572" s="67"/>
      <c r="P1572" s="67"/>
      <c r="Q1572" s="67"/>
      <c r="R1572" s="67"/>
      <c r="S1572" s="67"/>
      <c r="T1572" s="67"/>
      <c r="U1572" s="67"/>
      <c r="V1572" s="67"/>
      <c r="W1572" s="67"/>
      <c r="X1572" s="67"/>
      <c r="Y1572" s="67"/>
      <c r="Z1572" s="67"/>
      <c r="AA1572" s="67"/>
      <c r="AB1572" s="67"/>
      <c r="AC1572" s="67"/>
      <c r="AD1572" s="67"/>
      <c r="AE1572" s="67"/>
      <c r="AF1572" s="67"/>
      <c r="AG1572" s="67"/>
    </row>
    <row r="1573" spans="1:33">
      <c r="A1573" s="9"/>
      <c r="B1573" s="67"/>
      <c r="C1573" s="67"/>
      <c r="D1573" s="67"/>
      <c r="E1573" s="67"/>
      <c r="F1573" s="67"/>
      <c r="G1573" s="67"/>
      <c r="H1573" s="67"/>
      <c r="I1573" s="67"/>
      <c r="J1573" s="67"/>
      <c r="K1573" s="67"/>
      <c r="L1573" s="67"/>
      <c r="M1573" s="67"/>
      <c r="N1573" s="67"/>
      <c r="O1573" s="67"/>
      <c r="P1573" s="67"/>
      <c r="Q1573" s="67"/>
      <c r="R1573" s="67"/>
      <c r="S1573" s="67"/>
      <c r="T1573" s="67"/>
      <c r="U1573" s="67"/>
      <c r="V1573" s="67"/>
      <c r="W1573" s="67"/>
      <c r="X1573" s="67"/>
      <c r="Y1573" s="67"/>
      <c r="Z1573" s="67"/>
      <c r="AA1573" s="67"/>
      <c r="AB1573" s="67"/>
      <c r="AC1573" s="67"/>
      <c r="AD1573" s="67"/>
      <c r="AE1573" s="67"/>
      <c r="AF1573" s="67"/>
      <c r="AG1573" s="67"/>
    </row>
    <row r="1574" spans="1:33">
      <c r="A1574" s="9"/>
      <c r="B1574" s="67"/>
      <c r="C1574" s="67"/>
      <c r="D1574" s="67"/>
      <c r="E1574" s="67"/>
      <c r="F1574" s="67"/>
      <c r="G1574" s="67"/>
      <c r="H1574" s="67"/>
      <c r="I1574" s="67"/>
      <c r="J1574" s="67"/>
      <c r="K1574" s="67"/>
      <c r="L1574" s="67"/>
      <c r="M1574" s="67"/>
      <c r="N1574" s="67"/>
      <c r="O1574" s="67"/>
      <c r="P1574" s="67"/>
      <c r="Q1574" s="67"/>
      <c r="R1574" s="67"/>
      <c r="S1574" s="67"/>
      <c r="T1574" s="67"/>
      <c r="U1574" s="67"/>
      <c r="V1574" s="67"/>
      <c r="W1574" s="67"/>
      <c r="X1574" s="67"/>
      <c r="Y1574" s="67"/>
      <c r="Z1574" s="67"/>
      <c r="AA1574" s="67"/>
      <c r="AB1574" s="67"/>
      <c r="AC1574" s="67"/>
      <c r="AD1574" s="67"/>
      <c r="AE1574" s="67"/>
      <c r="AF1574" s="67"/>
      <c r="AG1574" s="67"/>
    </row>
    <row r="1575" spans="1:33">
      <c r="A1575" s="9"/>
      <c r="B1575" s="67"/>
      <c r="C1575" s="67"/>
      <c r="D1575" s="67"/>
      <c r="E1575" s="67"/>
      <c r="F1575" s="67"/>
      <c r="G1575" s="67"/>
      <c r="H1575" s="67"/>
      <c r="I1575" s="67"/>
      <c r="J1575" s="67"/>
      <c r="K1575" s="67"/>
      <c r="L1575" s="67"/>
      <c r="M1575" s="67"/>
      <c r="N1575" s="67"/>
      <c r="O1575" s="67"/>
      <c r="P1575" s="67"/>
      <c r="Q1575" s="67"/>
      <c r="R1575" s="67"/>
      <c r="S1575" s="67"/>
      <c r="T1575" s="67"/>
      <c r="U1575" s="67"/>
      <c r="V1575" s="67"/>
      <c r="W1575" s="67"/>
      <c r="X1575" s="67"/>
      <c r="Y1575" s="67"/>
      <c r="Z1575" s="67"/>
      <c r="AA1575" s="67"/>
      <c r="AB1575" s="67"/>
      <c r="AC1575" s="67"/>
      <c r="AD1575" s="67"/>
      <c r="AE1575" s="67"/>
      <c r="AF1575" s="67"/>
      <c r="AG1575" s="67"/>
    </row>
    <row r="1576" spans="1:33">
      <c r="A1576" s="9"/>
      <c r="B1576" s="67"/>
      <c r="C1576" s="67"/>
      <c r="D1576" s="67"/>
      <c r="E1576" s="67"/>
      <c r="F1576" s="67"/>
      <c r="G1576" s="67"/>
      <c r="H1576" s="67"/>
      <c r="I1576" s="67"/>
      <c r="J1576" s="67"/>
      <c r="K1576" s="67"/>
      <c r="L1576" s="67"/>
      <c r="M1576" s="67"/>
      <c r="N1576" s="67"/>
      <c r="O1576" s="67"/>
      <c r="P1576" s="67"/>
      <c r="Q1576" s="67"/>
      <c r="R1576" s="67"/>
      <c r="S1576" s="67"/>
      <c r="T1576" s="67"/>
      <c r="U1576" s="67"/>
      <c r="V1576" s="67"/>
      <c r="W1576" s="67"/>
      <c r="X1576" s="67"/>
      <c r="Y1576" s="67"/>
      <c r="Z1576" s="67"/>
      <c r="AA1576" s="67"/>
      <c r="AB1576" s="67"/>
      <c r="AC1576" s="67"/>
      <c r="AD1576" s="67"/>
      <c r="AE1576" s="67"/>
      <c r="AF1576" s="67"/>
      <c r="AG1576" s="67"/>
    </row>
    <row r="1577" spans="1:33">
      <c r="A1577" s="9"/>
      <c r="B1577" s="67"/>
      <c r="C1577" s="67"/>
      <c r="D1577" s="67"/>
      <c r="E1577" s="67"/>
      <c r="F1577" s="67"/>
      <c r="G1577" s="67"/>
      <c r="H1577" s="67"/>
      <c r="I1577" s="67"/>
      <c r="J1577" s="67"/>
      <c r="K1577" s="67"/>
      <c r="L1577" s="67"/>
      <c r="M1577" s="67"/>
      <c r="N1577" s="67"/>
      <c r="O1577" s="67"/>
      <c r="P1577" s="67"/>
      <c r="Q1577" s="67"/>
      <c r="R1577" s="67"/>
      <c r="S1577" s="67"/>
      <c r="T1577" s="67"/>
      <c r="U1577" s="67"/>
      <c r="V1577" s="67"/>
      <c r="W1577" s="67"/>
      <c r="X1577" s="67"/>
      <c r="Y1577" s="67"/>
      <c r="Z1577" s="67"/>
      <c r="AA1577" s="67"/>
      <c r="AB1577" s="67"/>
      <c r="AC1577" s="67"/>
      <c r="AD1577" s="67"/>
      <c r="AE1577" s="67"/>
      <c r="AF1577" s="67"/>
      <c r="AG1577" s="67"/>
    </row>
    <row r="1578" spans="1:33">
      <c r="A1578" s="9"/>
      <c r="B1578" s="67"/>
      <c r="C1578" s="67"/>
      <c r="D1578" s="67"/>
      <c r="E1578" s="67"/>
      <c r="F1578" s="67"/>
      <c r="G1578" s="67"/>
      <c r="H1578" s="67"/>
      <c r="I1578" s="67"/>
      <c r="J1578" s="67"/>
      <c r="K1578" s="67"/>
      <c r="L1578" s="67"/>
      <c r="M1578" s="67"/>
      <c r="N1578" s="67"/>
      <c r="O1578" s="67"/>
      <c r="P1578" s="67"/>
      <c r="Q1578" s="67"/>
      <c r="R1578" s="67"/>
      <c r="S1578" s="67"/>
      <c r="T1578" s="67"/>
      <c r="U1578" s="67"/>
      <c r="V1578" s="67"/>
      <c r="W1578" s="67"/>
      <c r="X1578" s="67"/>
      <c r="Y1578" s="67"/>
      <c r="Z1578" s="67"/>
      <c r="AA1578" s="67"/>
      <c r="AB1578" s="67"/>
      <c r="AC1578" s="67"/>
      <c r="AD1578" s="67"/>
      <c r="AE1578" s="67"/>
      <c r="AF1578" s="67"/>
      <c r="AG1578" s="67"/>
    </row>
    <row r="1579" spans="1:33">
      <c r="A1579" s="9"/>
      <c r="B1579" s="67"/>
      <c r="C1579" s="67"/>
      <c r="D1579" s="67"/>
      <c r="E1579" s="67"/>
      <c r="F1579" s="67"/>
      <c r="G1579" s="67"/>
      <c r="H1579" s="67"/>
      <c r="I1579" s="67"/>
      <c r="J1579" s="67"/>
      <c r="K1579" s="67"/>
      <c r="L1579" s="67"/>
      <c r="M1579" s="67"/>
      <c r="N1579" s="67"/>
      <c r="O1579" s="67"/>
      <c r="P1579" s="67"/>
      <c r="Q1579" s="67"/>
      <c r="R1579" s="67"/>
      <c r="S1579" s="67"/>
      <c r="T1579" s="67"/>
      <c r="U1579" s="67"/>
      <c r="V1579" s="67"/>
      <c r="W1579" s="67"/>
      <c r="X1579" s="67"/>
      <c r="Y1579" s="67"/>
      <c r="Z1579" s="67"/>
      <c r="AA1579" s="67"/>
      <c r="AB1579" s="67"/>
      <c r="AC1579" s="67"/>
      <c r="AD1579" s="67"/>
      <c r="AE1579" s="67"/>
      <c r="AF1579" s="67"/>
      <c r="AG1579" s="67"/>
    </row>
    <row r="1580" spans="1:33">
      <c r="A1580" s="9"/>
      <c r="B1580" s="67"/>
      <c r="C1580" s="67"/>
      <c r="D1580" s="67"/>
      <c r="E1580" s="67"/>
      <c r="F1580" s="67"/>
      <c r="G1580" s="67"/>
      <c r="H1580" s="67"/>
      <c r="I1580" s="67"/>
      <c r="J1580" s="67"/>
      <c r="K1580" s="67"/>
      <c r="L1580" s="67"/>
      <c r="M1580" s="67"/>
      <c r="N1580" s="67"/>
      <c r="O1580" s="67"/>
      <c r="P1580" s="67"/>
      <c r="Q1580" s="67"/>
      <c r="R1580" s="67"/>
      <c r="S1580" s="67"/>
      <c r="T1580" s="67"/>
      <c r="U1580" s="67"/>
      <c r="V1580" s="67"/>
      <c r="W1580" s="67"/>
      <c r="X1580" s="67"/>
      <c r="Y1580" s="67"/>
      <c r="Z1580" s="67"/>
      <c r="AA1580" s="67"/>
      <c r="AB1580" s="67"/>
      <c r="AC1580" s="67"/>
      <c r="AD1580" s="67"/>
      <c r="AE1580" s="67"/>
      <c r="AF1580" s="67"/>
      <c r="AG1580" s="67"/>
    </row>
    <row r="1581" spans="1:33">
      <c r="A1581" s="9"/>
      <c r="B1581" s="67"/>
      <c r="C1581" s="67"/>
      <c r="D1581" s="67"/>
      <c r="E1581" s="67"/>
      <c r="F1581" s="67"/>
      <c r="G1581" s="67"/>
      <c r="H1581" s="67"/>
      <c r="I1581" s="67"/>
      <c r="J1581" s="67"/>
      <c r="K1581" s="67"/>
      <c r="L1581" s="67"/>
      <c r="M1581" s="67"/>
      <c r="N1581" s="67"/>
      <c r="O1581" s="67"/>
      <c r="P1581" s="67"/>
      <c r="Q1581" s="67"/>
      <c r="R1581" s="67"/>
      <c r="S1581" s="67"/>
      <c r="T1581" s="67"/>
      <c r="U1581" s="67"/>
      <c r="V1581" s="67"/>
      <c r="W1581" s="67"/>
      <c r="X1581" s="67"/>
      <c r="Y1581" s="67"/>
      <c r="Z1581" s="67"/>
      <c r="AA1581" s="67"/>
      <c r="AB1581" s="67"/>
      <c r="AC1581" s="67"/>
      <c r="AD1581" s="67"/>
      <c r="AE1581" s="67"/>
      <c r="AF1581" s="67"/>
      <c r="AG1581" s="67"/>
    </row>
    <row r="1582" spans="1:33">
      <c r="A1582" s="9"/>
      <c r="B1582" s="67"/>
      <c r="C1582" s="67"/>
      <c r="D1582" s="67"/>
      <c r="E1582" s="67"/>
      <c r="F1582" s="67"/>
      <c r="G1582" s="67"/>
      <c r="H1582" s="67"/>
      <c r="I1582" s="67"/>
      <c r="J1582" s="67"/>
      <c r="K1582" s="67"/>
      <c r="L1582" s="67"/>
      <c r="M1582" s="67"/>
      <c r="N1582" s="67"/>
      <c r="O1582" s="67"/>
      <c r="P1582" s="67"/>
      <c r="Q1582" s="67"/>
      <c r="R1582" s="67"/>
      <c r="S1582" s="67"/>
      <c r="T1582" s="67"/>
      <c r="U1582" s="67"/>
      <c r="V1582" s="67"/>
      <c r="W1582" s="67"/>
      <c r="X1582" s="67"/>
      <c r="Y1582" s="67"/>
      <c r="Z1582" s="67"/>
      <c r="AA1582" s="67"/>
      <c r="AB1582" s="67"/>
      <c r="AC1582" s="67"/>
      <c r="AD1582" s="67"/>
      <c r="AE1582" s="67"/>
      <c r="AF1582" s="67"/>
      <c r="AG1582" s="67"/>
    </row>
    <row r="1583" spans="1:33">
      <c r="A1583" s="9"/>
      <c r="B1583" s="67"/>
      <c r="C1583" s="67"/>
      <c r="D1583" s="67"/>
      <c r="E1583" s="67"/>
      <c r="F1583" s="67"/>
      <c r="G1583" s="67"/>
      <c r="H1583" s="67"/>
      <c r="I1583" s="67"/>
      <c r="J1583" s="67"/>
      <c r="K1583" s="67"/>
      <c r="L1583" s="67"/>
      <c r="M1583" s="67"/>
      <c r="N1583" s="67"/>
      <c r="O1583" s="67"/>
      <c r="P1583" s="67"/>
      <c r="Q1583" s="67"/>
      <c r="R1583" s="67"/>
      <c r="S1583" s="67"/>
      <c r="T1583" s="67"/>
      <c r="U1583" s="67"/>
      <c r="V1583" s="67"/>
      <c r="W1583" s="67"/>
      <c r="X1583" s="67"/>
      <c r="Y1583" s="67"/>
      <c r="Z1583" s="67"/>
      <c r="AA1583" s="67"/>
      <c r="AB1583" s="67"/>
      <c r="AC1583" s="67"/>
      <c r="AD1583" s="67"/>
      <c r="AE1583" s="67"/>
      <c r="AF1583" s="67"/>
      <c r="AG1583" s="67"/>
    </row>
    <row r="1584" spans="1:33">
      <c r="A1584" s="9"/>
      <c r="B1584" s="67"/>
      <c r="C1584" s="67"/>
      <c r="D1584" s="67"/>
      <c r="E1584" s="67"/>
      <c r="F1584" s="67"/>
      <c r="G1584" s="67"/>
      <c r="H1584" s="67"/>
      <c r="I1584" s="67"/>
      <c r="J1584" s="67"/>
      <c r="K1584" s="67"/>
      <c r="L1584" s="67"/>
      <c r="M1584" s="67"/>
      <c r="N1584" s="67"/>
      <c r="O1584" s="67"/>
      <c r="P1584" s="67"/>
      <c r="Q1584" s="67"/>
      <c r="R1584" s="67"/>
      <c r="S1584" s="67"/>
      <c r="T1584" s="67"/>
      <c r="U1584" s="67"/>
      <c r="V1584" s="67"/>
      <c r="W1584" s="67"/>
      <c r="X1584" s="67"/>
      <c r="Y1584" s="67"/>
      <c r="Z1584" s="67"/>
      <c r="AA1584" s="67"/>
      <c r="AB1584" s="67"/>
      <c r="AC1584" s="67"/>
      <c r="AD1584" s="67"/>
      <c r="AE1584" s="67"/>
      <c r="AF1584" s="67"/>
      <c r="AG1584" s="67"/>
    </row>
    <row r="1585" spans="1:33">
      <c r="A1585" s="9"/>
      <c r="B1585" s="67"/>
      <c r="C1585" s="67"/>
      <c r="D1585" s="67"/>
      <c r="E1585" s="67"/>
      <c r="F1585" s="67"/>
      <c r="G1585" s="67"/>
      <c r="H1585" s="67"/>
      <c r="I1585" s="67"/>
      <c r="J1585" s="67"/>
      <c r="K1585" s="67"/>
      <c r="L1585" s="67"/>
      <c r="M1585" s="67"/>
      <c r="N1585" s="67"/>
      <c r="O1585" s="67"/>
      <c r="P1585" s="67"/>
      <c r="Q1585" s="67"/>
      <c r="R1585" s="67"/>
      <c r="S1585" s="67"/>
      <c r="T1585" s="67"/>
      <c r="U1585" s="67"/>
      <c r="V1585" s="67"/>
      <c r="W1585" s="67"/>
      <c r="X1585" s="67"/>
      <c r="Y1585" s="67"/>
      <c r="Z1585" s="67"/>
      <c r="AA1585" s="67"/>
      <c r="AB1585" s="67"/>
      <c r="AC1585" s="67"/>
      <c r="AD1585" s="67"/>
      <c r="AE1585" s="67"/>
      <c r="AF1585" s="67"/>
      <c r="AG1585" s="67"/>
    </row>
    <row r="1586" spans="1:33">
      <c r="A1586" s="9"/>
      <c r="B1586" s="67"/>
      <c r="C1586" s="67"/>
      <c r="D1586" s="67"/>
      <c r="E1586" s="67"/>
      <c r="F1586" s="67"/>
      <c r="G1586" s="67"/>
      <c r="H1586" s="67"/>
      <c r="I1586" s="67"/>
      <c r="J1586" s="67"/>
      <c r="K1586" s="67"/>
      <c r="L1586" s="67"/>
      <c r="M1586" s="67"/>
      <c r="N1586" s="67"/>
      <c r="O1586" s="67"/>
      <c r="P1586" s="67"/>
      <c r="Q1586" s="67"/>
      <c r="R1586" s="67"/>
      <c r="S1586" s="67"/>
      <c r="T1586" s="67"/>
      <c r="U1586" s="67"/>
      <c r="V1586" s="67"/>
      <c r="W1586" s="67"/>
      <c r="X1586" s="67"/>
      <c r="Y1586" s="67"/>
      <c r="Z1586" s="67"/>
      <c r="AA1586" s="67"/>
      <c r="AB1586" s="67"/>
      <c r="AC1586" s="67"/>
      <c r="AD1586" s="67"/>
      <c r="AE1586" s="67"/>
      <c r="AF1586" s="67"/>
      <c r="AG1586" s="67"/>
    </row>
    <row r="1587" spans="1:33">
      <c r="A1587" s="9"/>
      <c r="B1587" s="67"/>
      <c r="C1587" s="67"/>
      <c r="D1587" s="67"/>
      <c r="E1587" s="67"/>
      <c r="F1587" s="67"/>
      <c r="G1587" s="67"/>
      <c r="H1587" s="67"/>
      <c r="I1587" s="67"/>
      <c r="J1587" s="67"/>
      <c r="K1587" s="67"/>
      <c r="L1587" s="67"/>
      <c r="M1587" s="67"/>
      <c r="N1587" s="67"/>
      <c r="O1587" s="67"/>
      <c r="P1587" s="67"/>
      <c r="Q1587" s="67"/>
      <c r="R1587" s="67"/>
      <c r="S1587" s="67"/>
      <c r="T1587" s="67"/>
      <c r="U1587" s="67"/>
      <c r="V1587" s="67"/>
      <c r="W1587" s="67"/>
      <c r="X1587" s="67"/>
      <c r="Y1587" s="67"/>
      <c r="Z1587" s="67"/>
      <c r="AA1587" s="67"/>
      <c r="AB1587" s="67"/>
      <c r="AC1587" s="67"/>
      <c r="AD1587" s="67"/>
      <c r="AE1587" s="67"/>
      <c r="AF1587" s="67"/>
      <c r="AG1587" s="67"/>
    </row>
    <row r="1588" spans="1:33">
      <c r="A1588" s="9"/>
      <c r="B1588" s="67"/>
      <c r="C1588" s="67"/>
      <c r="D1588" s="67"/>
      <c r="E1588" s="67"/>
      <c r="F1588" s="67"/>
      <c r="G1588" s="67"/>
      <c r="H1588" s="67"/>
      <c r="I1588" s="67"/>
      <c r="J1588" s="67"/>
      <c r="K1588" s="67"/>
      <c r="L1588" s="67"/>
      <c r="M1588" s="67"/>
      <c r="N1588" s="67"/>
      <c r="O1588" s="67"/>
      <c r="P1588" s="67"/>
      <c r="Q1588" s="67"/>
      <c r="R1588" s="67"/>
      <c r="S1588" s="67"/>
      <c r="T1588" s="67"/>
      <c r="U1588" s="67"/>
      <c r="V1588" s="67"/>
      <c r="W1588" s="67"/>
      <c r="X1588" s="67"/>
      <c r="Y1588" s="67"/>
      <c r="Z1588" s="67"/>
      <c r="AA1588" s="67"/>
      <c r="AB1588" s="67"/>
      <c r="AC1588" s="67"/>
      <c r="AD1588" s="67"/>
      <c r="AE1588" s="67"/>
      <c r="AF1588" s="67"/>
      <c r="AG1588" s="67"/>
    </row>
    <row r="1589" spans="1:33">
      <c r="A1589" s="9"/>
      <c r="B1589" s="67"/>
      <c r="C1589" s="67"/>
      <c r="D1589" s="67"/>
      <c r="E1589" s="67"/>
      <c r="F1589" s="67"/>
      <c r="G1589" s="67"/>
      <c r="H1589" s="67"/>
      <c r="I1589" s="67"/>
      <c r="J1589" s="67"/>
      <c r="K1589" s="67"/>
      <c r="L1589" s="67"/>
      <c r="M1589" s="67"/>
      <c r="N1589" s="67"/>
      <c r="O1589" s="67"/>
      <c r="P1589" s="67"/>
      <c r="Q1589" s="67"/>
      <c r="R1589" s="67"/>
      <c r="S1589" s="67"/>
      <c r="T1589" s="67"/>
      <c r="U1589" s="67"/>
      <c r="V1589" s="67"/>
      <c r="W1589" s="67"/>
      <c r="X1589" s="67"/>
      <c r="Y1589" s="67"/>
      <c r="Z1589" s="67"/>
      <c r="AA1589" s="67"/>
      <c r="AB1589" s="67"/>
      <c r="AC1589" s="67"/>
      <c r="AD1589" s="67"/>
      <c r="AE1589" s="67"/>
      <c r="AF1589" s="67"/>
      <c r="AG1589" s="67"/>
    </row>
    <row r="1590" spans="1:33">
      <c r="A1590" s="9"/>
      <c r="B1590" s="67"/>
      <c r="C1590" s="67"/>
      <c r="D1590" s="67"/>
      <c r="E1590" s="67"/>
      <c r="F1590" s="67"/>
      <c r="G1590" s="67"/>
      <c r="H1590" s="67"/>
      <c r="I1590" s="67"/>
      <c r="J1590" s="67"/>
      <c r="K1590" s="67"/>
      <c r="L1590" s="67"/>
      <c r="M1590" s="67"/>
      <c r="N1590" s="67"/>
      <c r="O1590" s="67"/>
      <c r="P1590" s="67"/>
      <c r="Q1590" s="67"/>
      <c r="R1590" s="67"/>
      <c r="S1590" s="67"/>
      <c r="T1590" s="67"/>
      <c r="U1590" s="67"/>
      <c r="V1590" s="67"/>
      <c r="W1590" s="67"/>
      <c r="X1590" s="67"/>
      <c r="Y1590" s="67"/>
      <c r="Z1590" s="67"/>
      <c r="AA1590" s="67"/>
      <c r="AB1590" s="67"/>
      <c r="AC1590" s="67"/>
      <c r="AD1590" s="67"/>
      <c r="AE1590" s="67"/>
      <c r="AF1590" s="67"/>
      <c r="AG1590" s="67"/>
    </row>
    <row r="1591" spans="1:33">
      <c r="A1591" s="9"/>
      <c r="B1591" s="67"/>
      <c r="C1591" s="67"/>
      <c r="D1591" s="67"/>
      <c r="E1591" s="67"/>
      <c r="F1591" s="67"/>
      <c r="G1591" s="67"/>
      <c r="H1591" s="67"/>
      <c r="I1591" s="67"/>
      <c r="J1591" s="67"/>
      <c r="K1591" s="67"/>
      <c r="L1591" s="67"/>
      <c r="M1591" s="67"/>
      <c r="N1591" s="67"/>
      <c r="O1591" s="67"/>
      <c r="P1591" s="67"/>
      <c r="Q1591" s="67"/>
      <c r="R1591" s="67"/>
      <c r="S1591" s="67"/>
      <c r="T1591" s="67"/>
      <c r="U1591" s="67"/>
      <c r="V1591" s="67"/>
      <c r="W1591" s="67"/>
      <c r="X1591" s="67"/>
      <c r="Y1591" s="67"/>
      <c r="Z1591" s="67"/>
      <c r="AA1591" s="67"/>
      <c r="AB1591" s="67"/>
      <c r="AC1591" s="67"/>
      <c r="AD1591" s="67"/>
      <c r="AE1591" s="67"/>
      <c r="AF1591" s="67"/>
      <c r="AG1591" s="67"/>
    </row>
    <row r="1592" spans="1:33">
      <c r="A1592" s="9"/>
      <c r="B1592" s="67"/>
      <c r="C1592" s="67"/>
      <c r="D1592" s="67"/>
      <c r="E1592" s="67"/>
      <c r="F1592" s="67"/>
      <c r="G1592" s="67"/>
      <c r="H1592" s="67"/>
      <c r="I1592" s="67"/>
      <c r="J1592" s="67"/>
      <c r="K1592" s="67"/>
      <c r="L1592" s="67"/>
      <c r="M1592" s="67"/>
      <c r="N1592" s="67"/>
      <c r="O1592" s="67"/>
      <c r="P1592" s="67"/>
      <c r="Q1592" s="67"/>
      <c r="R1592" s="67"/>
      <c r="S1592" s="67"/>
      <c r="T1592" s="67"/>
      <c r="U1592" s="67"/>
      <c r="V1592" s="67"/>
      <c r="W1592" s="67"/>
      <c r="X1592" s="67"/>
      <c r="Y1592" s="67"/>
      <c r="Z1592" s="67"/>
      <c r="AA1592" s="67"/>
      <c r="AB1592" s="67"/>
      <c r="AC1592" s="67"/>
      <c r="AD1592" s="67"/>
      <c r="AE1592" s="67"/>
      <c r="AF1592" s="67"/>
      <c r="AG1592" s="67"/>
    </row>
    <row r="1593" spans="1:33">
      <c r="A1593" s="9"/>
      <c r="B1593" s="67"/>
      <c r="C1593" s="67"/>
      <c r="D1593" s="67"/>
      <c r="E1593" s="67"/>
      <c r="F1593" s="67"/>
      <c r="G1593" s="67"/>
      <c r="H1593" s="67"/>
      <c r="I1593" s="67"/>
      <c r="J1593" s="67"/>
      <c r="K1593" s="67"/>
      <c r="L1593" s="67"/>
      <c r="M1593" s="67"/>
      <c r="N1593" s="67"/>
      <c r="O1593" s="67"/>
      <c r="P1593" s="67"/>
      <c r="Q1593" s="67"/>
      <c r="R1593" s="67"/>
      <c r="S1593" s="67"/>
      <c r="T1593" s="67"/>
      <c r="U1593" s="67"/>
      <c r="V1593" s="67"/>
      <c r="W1593" s="67"/>
      <c r="X1593" s="67"/>
      <c r="Y1593" s="67"/>
      <c r="Z1593" s="67"/>
      <c r="AA1593" s="67"/>
      <c r="AB1593" s="67"/>
      <c r="AC1593" s="67"/>
      <c r="AD1593" s="67"/>
      <c r="AE1593" s="67"/>
      <c r="AF1593" s="67"/>
      <c r="AG1593" s="67"/>
    </row>
    <row r="1594" spans="1:33">
      <c r="A1594" s="9"/>
      <c r="B1594" s="67"/>
      <c r="C1594" s="67"/>
      <c r="D1594" s="67"/>
      <c r="E1594" s="67"/>
      <c r="F1594" s="67"/>
      <c r="G1594" s="67"/>
      <c r="H1594" s="67"/>
      <c r="I1594" s="67"/>
      <c r="J1594" s="67"/>
      <c r="K1594" s="67"/>
      <c r="L1594" s="67"/>
      <c r="M1594" s="67"/>
      <c r="N1594" s="67"/>
      <c r="O1594" s="67"/>
      <c r="P1594" s="67"/>
      <c r="Q1594" s="67"/>
      <c r="R1594" s="67"/>
      <c r="S1594" s="67"/>
      <c r="T1594" s="67"/>
      <c r="U1594" s="67"/>
      <c r="V1594" s="67"/>
      <c r="W1594" s="67"/>
      <c r="X1594" s="67"/>
      <c r="Y1594" s="67"/>
      <c r="Z1594" s="67"/>
      <c r="AA1594" s="67"/>
      <c r="AB1594" s="67"/>
      <c r="AC1594" s="67"/>
      <c r="AD1594" s="67"/>
      <c r="AE1594" s="67"/>
      <c r="AF1594" s="67"/>
      <c r="AG1594" s="67"/>
    </row>
    <row r="1595" spans="1:33">
      <c r="A1595" s="9"/>
      <c r="B1595" s="67"/>
      <c r="C1595" s="67"/>
      <c r="D1595" s="67"/>
      <c r="E1595" s="67"/>
      <c r="F1595" s="67"/>
      <c r="G1595" s="67"/>
      <c r="H1595" s="67"/>
      <c r="I1595" s="67"/>
      <c r="J1595" s="67"/>
      <c r="K1595" s="67"/>
      <c r="L1595" s="67"/>
      <c r="M1595" s="67"/>
      <c r="N1595" s="67"/>
      <c r="O1595" s="67"/>
      <c r="P1595" s="67"/>
      <c r="Q1595" s="67"/>
      <c r="R1595" s="67"/>
      <c r="S1595" s="67"/>
      <c r="T1595" s="67"/>
      <c r="U1595" s="67"/>
      <c r="V1595" s="67"/>
      <c r="W1595" s="67"/>
      <c r="X1595" s="67"/>
      <c r="Y1595" s="67"/>
      <c r="Z1595" s="67"/>
      <c r="AA1595" s="67"/>
      <c r="AB1595" s="67"/>
      <c r="AC1595" s="67"/>
      <c r="AD1595" s="67"/>
      <c r="AE1595" s="67"/>
      <c r="AF1595" s="67"/>
      <c r="AG1595" s="67"/>
    </row>
    <row r="1596" spans="1:33">
      <c r="A1596" s="9"/>
      <c r="B1596" s="67"/>
      <c r="C1596" s="67"/>
      <c r="D1596" s="67"/>
      <c r="E1596" s="67"/>
      <c r="F1596" s="67"/>
      <c r="G1596" s="67"/>
      <c r="H1596" s="67"/>
      <c r="I1596" s="67"/>
      <c r="J1596" s="67"/>
      <c r="K1596" s="67"/>
      <c r="L1596" s="67"/>
      <c r="M1596" s="67"/>
      <c r="N1596" s="67"/>
      <c r="O1596" s="67"/>
      <c r="P1596" s="67"/>
      <c r="Q1596" s="67"/>
      <c r="R1596" s="67"/>
      <c r="S1596" s="67"/>
      <c r="T1596" s="67"/>
      <c r="U1596" s="67"/>
      <c r="V1596" s="67"/>
      <c r="W1596" s="67"/>
      <c r="X1596" s="67"/>
      <c r="Y1596" s="67"/>
      <c r="Z1596" s="67"/>
      <c r="AA1596" s="67"/>
      <c r="AB1596" s="67"/>
      <c r="AC1596" s="67"/>
      <c r="AD1596" s="67"/>
      <c r="AE1596" s="67"/>
      <c r="AF1596" s="67"/>
      <c r="AG1596" s="67"/>
    </row>
    <row r="1597" spans="1:33">
      <c r="A1597" s="9"/>
      <c r="B1597" s="67"/>
      <c r="C1597" s="67"/>
      <c r="D1597" s="67"/>
      <c r="E1597" s="67"/>
      <c r="F1597" s="67"/>
      <c r="G1597" s="67"/>
      <c r="H1597" s="67"/>
      <c r="I1597" s="67"/>
      <c r="J1597" s="67"/>
      <c r="K1597" s="67"/>
      <c r="L1597" s="67"/>
      <c r="M1597" s="67"/>
      <c r="N1597" s="67"/>
      <c r="O1597" s="67"/>
      <c r="P1597" s="67"/>
      <c r="Q1597" s="67"/>
      <c r="R1597" s="67"/>
      <c r="S1597" s="67"/>
      <c r="T1597" s="67"/>
      <c r="U1597" s="67"/>
      <c r="V1597" s="67"/>
      <c r="W1597" s="67"/>
      <c r="X1597" s="67"/>
      <c r="Y1597" s="67"/>
      <c r="Z1597" s="67"/>
      <c r="AA1597" s="67"/>
      <c r="AB1597" s="67"/>
      <c r="AC1597" s="67"/>
      <c r="AD1597" s="67"/>
      <c r="AE1597" s="67"/>
      <c r="AF1597" s="67"/>
      <c r="AG1597" s="67"/>
    </row>
    <row r="1598" spans="1:33">
      <c r="A1598" s="9"/>
      <c r="B1598" s="67"/>
      <c r="C1598" s="67"/>
      <c r="D1598" s="67"/>
      <c r="E1598" s="67"/>
      <c r="F1598" s="67"/>
      <c r="G1598" s="67"/>
      <c r="H1598" s="67"/>
      <c r="I1598" s="67"/>
      <c r="J1598" s="67"/>
      <c r="K1598" s="67"/>
      <c r="L1598" s="67"/>
      <c r="M1598" s="67"/>
      <c r="N1598" s="67"/>
      <c r="O1598" s="67"/>
      <c r="P1598" s="67"/>
      <c r="Q1598" s="67"/>
      <c r="R1598" s="67"/>
      <c r="S1598" s="67"/>
      <c r="T1598" s="67"/>
      <c r="U1598" s="67"/>
      <c r="V1598" s="67"/>
      <c r="W1598" s="67"/>
      <c r="X1598" s="67"/>
      <c r="Y1598" s="67"/>
      <c r="Z1598" s="67"/>
      <c r="AA1598" s="67"/>
      <c r="AB1598" s="67"/>
      <c r="AC1598" s="67"/>
      <c r="AD1598" s="67"/>
      <c r="AE1598" s="67"/>
      <c r="AF1598" s="67"/>
      <c r="AG1598" s="67"/>
    </row>
    <row r="1599" spans="1:33">
      <c r="A1599" s="9"/>
      <c r="B1599" s="67"/>
      <c r="C1599" s="67"/>
      <c r="D1599" s="67"/>
      <c r="E1599" s="67"/>
      <c r="F1599" s="67"/>
      <c r="G1599" s="67"/>
      <c r="H1599" s="67"/>
      <c r="I1599" s="67"/>
      <c r="J1599" s="67"/>
      <c r="K1599" s="67"/>
      <c r="L1599" s="67"/>
      <c r="M1599" s="67"/>
      <c r="N1599" s="67"/>
      <c r="O1599" s="67"/>
      <c r="P1599" s="67"/>
      <c r="Q1599" s="67"/>
      <c r="R1599" s="67"/>
      <c r="S1599" s="67"/>
      <c r="T1599" s="67"/>
      <c r="U1599" s="67"/>
      <c r="V1599" s="67"/>
      <c r="W1599" s="67"/>
      <c r="X1599" s="67"/>
      <c r="Y1599" s="67"/>
      <c r="Z1599" s="67"/>
      <c r="AA1599" s="67"/>
      <c r="AB1599" s="67"/>
      <c r="AC1599" s="67"/>
      <c r="AD1599" s="67"/>
      <c r="AE1599" s="67"/>
      <c r="AF1599" s="67"/>
      <c r="AG1599" s="67"/>
    </row>
    <row r="1600" spans="1:33">
      <c r="A1600" s="9"/>
      <c r="B1600" s="67"/>
      <c r="C1600" s="67"/>
      <c r="D1600" s="67"/>
      <c r="E1600" s="67"/>
      <c r="F1600" s="67"/>
      <c r="G1600" s="67"/>
      <c r="H1600" s="67"/>
      <c r="I1600" s="67"/>
      <c r="J1600" s="67"/>
      <c r="K1600" s="67"/>
      <c r="L1600" s="67"/>
      <c r="M1600" s="67"/>
      <c r="N1600" s="67"/>
      <c r="O1600" s="67"/>
      <c r="P1600" s="67"/>
      <c r="Q1600" s="67"/>
      <c r="R1600" s="67"/>
      <c r="S1600" s="67"/>
      <c r="T1600" s="67"/>
      <c r="U1600" s="67"/>
      <c r="V1600" s="67"/>
      <c r="W1600" s="67"/>
      <c r="X1600" s="67"/>
      <c r="Y1600" s="67"/>
      <c r="Z1600" s="67"/>
      <c r="AA1600" s="67"/>
      <c r="AB1600" s="67"/>
      <c r="AC1600" s="67"/>
      <c r="AD1600" s="67"/>
      <c r="AE1600" s="67"/>
      <c r="AF1600" s="67"/>
      <c r="AG1600" s="67"/>
    </row>
    <row r="1601" spans="1:33">
      <c r="A1601" s="9"/>
      <c r="B1601" s="67"/>
      <c r="C1601" s="67"/>
      <c r="D1601" s="67"/>
      <c r="E1601" s="67"/>
      <c r="F1601" s="67"/>
      <c r="G1601" s="67"/>
      <c r="H1601" s="67"/>
      <c r="I1601" s="67"/>
      <c r="J1601" s="67"/>
      <c r="K1601" s="67"/>
      <c r="L1601" s="67"/>
      <c r="M1601" s="67"/>
      <c r="N1601" s="67"/>
      <c r="O1601" s="67"/>
      <c r="P1601" s="67"/>
      <c r="Q1601" s="67"/>
      <c r="R1601" s="67"/>
      <c r="S1601" s="67"/>
      <c r="T1601" s="67"/>
      <c r="U1601" s="67"/>
      <c r="V1601" s="67"/>
      <c r="W1601" s="67"/>
      <c r="X1601" s="67"/>
      <c r="Y1601" s="67"/>
      <c r="Z1601" s="67"/>
      <c r="AA1601" s="67"/>
      <c r="AB1601" s="67"/>
      <c r="AC1601" s="67"/>
      <c r="AD1601" s="67"/>
      <c r="AE1601" s="67"/>
      <c r="AF1601" s="67"/>
      <c r="AG1601" s="67"/>
    </row>
    <row r="1602" spans="1:33">
      <c r="A1602" s="9"/>
      <c r="B1602" s="67"/>
      <c r="C1602" s="67"/>
      <c r="D1602" s="67"/>
      <c r="E1602" s="67"/>
      <c r="F1602" s="67"/>
      <c r="G1602" s="67"/>
      <c r="H1602" s="67"/>
      <c r="I1602" s="67"/>
      <c r="J1602" s="67"/>
      <c r="K1602" s="67"/>
      <c r="L1602" s="67"/>
      <c r="M1602" s="67"/>
      <c r="N1602" s="67"/>
      <c r="O1602" s="67"/>
      <c r="P1602" s="67"/>
      <c r="Q1602" s="67"/>
      <c r="R1602" s="67"/>
      <c r="S1602" s="67"/>
      <c r="T1602" s="67"/>
      <c r="U1602" s="67"/>
      <c r="V1602" s="67"/>
      <c r="W1602" s="67"/>
      <c r="X1602" s="67"/>
      <c r="Y1602" s="67"/>
      <c r="Z1602" s="67"/>
      <c r="AA1602" s="67"/>
      <c r="AB1602" s="67"/>
      <c r="AC1602" s="67"/>
      <c r="AD1602" s="67"/>
      <c r="AE1602" s="67"/>
      <c r="AF1602" s="67"/>
      <c r="AG1602" s="67"/>
    </row>
    <row r="1603" spans="1:33">
      <c r="A1603" s="9"/>
      <c r="B1603" s="67"/>
      <c r="C1603" s="67"/>
      <c r="D1603" s="67"/>
      <c r="E1603" s="67"/>
      <c r="F1603" s="67"/>
      <c r="G1603" s="67"/>
      <c r="H1603" s="67"/>
      <c r="I1603" s="67"/>
      <c r="J1603" s="67"/>
      <c r="K1603" s="67"/>
      <c r="L1603" s="67"/>
      <c r="M1603" s="67"/>
      <c r="N1603" s="67"/>
      <c r="O1603" s="67"/>
      <c r="P1603" s="67"/>
      <c r="Q1603" s="67"/>
      <c r="R1603" s="67"/>
      <c r="S1603" s="67"/>
      <c r="T1603" s="67"/>
      <c r="U1603" s="67"/>
      <c r="V1603" s="67"/>
      <c r="W1603" s="67"/>
      <c r="X1603" s="67"/>
      <c r="Y1603" s="67"/>
      <c r="Z1603" s="67"/>
      <c r="AA1603" s="67"/>
      <c r="AB1603" s="67"/>
      <c r="AC1603" s="67"/>
      <c r="AD1603" s="67"/>
      <c r="AE1603" s="67"/>
      <c r="AF1603" s="67"/>
      <c r="AG1603" s="67"/>
    </row>
    <row r="1604" spans="1:33">
      <c r="A1604" s="9"/>
      <c r="B1604" s="67"/>
      <c r="C1604" s="67"/>
      <c r="D1604" s="67"/>
      <c r="E1604" s="67"/>
      <c r="F1604" s="67"/>
      <c r="G1604" s="67"/>
      <c r="H1604" s="67"/>
      <c r="I1604" s="67"/>
      <c r="J1604" s="67"/>
      <c r="K1604" s="67"/>
      <c r="L1604" s="67"/>
      <c r="M1604" s="67"/>
      <c r="N1604" s="67"/>
      <c r="O1604" s="67"/>
      <c r="P1604" s="67"/>
      <c r="Q1604" s="67"/>
      <c r="R1604" s="67"/>
      <c r="S1604" s="67"/>
      <c r="T1604" s="67"/>
      <c r="U1604" s="67"/>
      <c r="V1604" s="67"/>
      <c r="W1604" s="67"/>
      <c r="X1604" s="67"/>
      <c r="Y1604" s="67"/>
      <c r="Z1604" s="67"/>
      <c r="AA1604" s="67"/>
      <c r="AB1604" s="67"/>
      <c r="AC1604" s="67"/>
      <c r="AD1604" s="67"/>
      <c r="AE1604" s="67"/>
      <c r="AF1604" s="67"/>
      <c r="AG1604" s="67"/>
    </row>
    <row r="1605" spans="1:33">
      <c r="A1605" s="9"/>
      <c r="B1605" s="67"/>
      <c r="C1605" s="67"/>
      <c r="D1605" s="67"/>
      <c r="E1605" s="67"/>
      <c r="F1605" s="67"/>
      <c r="G1605" s="67"/>
      <c r="H1605" s="67"/>
      <c r="I1605" s="67"/>
      <c r="J1605" s="67"/>
      <c r="K1605" s="67"/>
      <c r="L1605" s="67"/>
      <c r="M1605" s="67"/>
      <c r="N1605" s="67"/>
      <c r="O1605" s="67"/>
      <c r="P1605" s="67"/>
      <c r="Q1605" s="67"/>
      <c r="R1605" s="67"/>
      <c r="S1605" s="67"/>
      <c r="T1605" s="67"/>
      <c r="U1605" s="67"/>
      <c r="V1605" s="67"/>
      <c r="W1605" s="67"/>
      <c r="X1605" s="67"/>
      <c r="Y1605" s="67"/>
      <c r="Z1605" s="67"/>
      <c r="AA1605" s="67"/>
      <c r="AB1605" s="67"/>
      <c r="AC1605" s="67"/>
      <c r="AD1605" s="67"/>
      <c r="AE1605" s="67"/>
      <c r="AF1605" s="67"/>
      <c r="AG1605" s="67"/>
    </row>
    <row r="1606" spans="1:33">
      <c r="A1606" s="9"/>
      <c r="B1606" s="67"/>
      <c r="C1606" s="67"/>
      <c r="D1606" s="67"/>
      <c r="E1606" s="67"/>
      <c r="F1606" s="67"/>
      <c r="G1606" s="67"/>
      <c r="H1606" s="67"/>
      <c r="I1606" s="67"/>
      <c r="J1606" s="67"/>
      <c r="K1606" s="67"/>
      <c r="L1606" s="67"/>
      <c r="M1606" s="67"/>
      <c r="N1606" s="67"/>
      <c r="O1606" s="67"/>
      <c r="P1606" s="67"/>
      <c r="Q1606" s="67"/>
      <c r="R1606" s="67"/>
      <c r="S1606" s="67"/>
      <c r="T1606" s="67"/>
      <c r="U1606" s="67"/>
      <c r="V1606" s="67"/>
      <c r="W1606" s="67"/>
      <c r="X1606" s="67"/>
      <c r="Y1606" s="67"/>
      <c r="Z1606" s="67"/>
      <c r="AA1606" s="67"/>
      <c r="AB1606" s="67"/>
      <c r="AC1606" s="67"/>
      <c r="AD1606" s="67"/>
      <c r="AE1606" s="67"/>
      <c r="AF1606" s="67"/>
      <c r="AG1606" s="67"/>
    </row>
    <row r="1607" spans="1:33">
      <c r="A1607" s="9"/>
      <c r="B1607" s="67"/>
      <c r="C1607" s="67"/>
      <c r="D1607" s="67"/>
      <c r="E1607" s="67"/>
      <c r="F1607" s="67"/>
      <c r="G1607" s="67"/>
      <c r="H1607" s="67"/>
      <c r="I1607" s="67"/>
      <c r="J1607" s="67"/>
      <c r="K1607" s="67"/>
      <c r="L1607" s="67"/>
      <c r="M1607" s="67"/>
      <c r="N1607" s="67"/>
      <c r="O1607" s="67"/>
      <c r="P1607" s="67"/>
      <c r="Q1607" s="67"/>
      <c r="R1607" s="67"/>
      <c r="S1607" s="67"/>
      <c r="T1607" s="67"/>
      <c r="U1607" s="67"/>
      <c r="V1607" s="67"/>
      <c r="W1607" s="67"/>
      <c r="X1607" s="67"/>
      <c r="Y1607" s="67"/>
      <c r="Z1607" s="67"/>
      <c r="AA1607" s="67"/>
      <c r="AB1607" s="67"/>
      <c r="AC1607" s="67"/>
      <c r="AD1607" s="67"/>
      <c r="AE1607" s="67"/>
      <c r="AF1607" s="67"/>
      <c r="AG1607" s="67"/>
    </row>
    <row r="1608" spans="1:33">
      <c r="A1608" s="9"/>
      <c r="B1608" s="67"/>
      <c r="C1608" s="67"/>
      <c r="D1608" s="67"/>
      <c r="E1608" s="67"/>
      <c r="F1608" s="67"/>
      <c r="G1608" s="67"/>
      <c r="H1608" s="67"/>
      <c r="I1608" s="67"/>
      <c r="J1608" s="67"/>
      <c r="K1608" s="67"/>
      <c r="L1608" s="67"/>
      <c r="M1608" s="67"/>
      <c r="N1608" s="67"/>
      <c r="O1608" s="67"/>
      <c r="P1608" s="67"/>
      <c r="Q1608" s="67"/>
      <c r="R1608" s="67"/>
      <c r="S1608" s="67"/>
      <c r="T1608" s="67"/>
      <c r="U1608" s="67"/>
      <c r="V1608" s="67"/>
      <c r="W1608" s="67"/>
      <c r="X1608" s="67"/>
      <c r="Y1608" s="67"/>
      <c r="Z1608" s="67"/>
      <c r="AA1608" s="67"/>
      <c r="AB1608" s="67"/>
      <c r="AC1608" s="67"/>
      <c r="AD1608" s="67"/>
      <c r="AE1608" s="67"/>
      <c r="AF1608" s="67"/>
      <c r="AG1608" s="67"/>
    </row>
    <row r="1609" spans="1:33">
      <c r="A1609" s="9"/>
      <c r="B1609" s="67"/>
      <c r="C1609" s="67"/>
      <c r="D1609" s="67"/>
      <c r="E1609" s="67"/>
      <c r="F1609" s="67"/>
      <c r="G1609" s="67"/>
      <c r="H1609" s="67"/>
      <c r="I1609" s="67"/>
      <c r="J1609" s="67"/>
      <c r="K1609" s="67"/>
      <c r="L1609" s="67"/>
      <c r="M1609" s="67"/>
      <c r="N1609" s="67"/>
      <c r="O1609" s="67"/>
      <c r="P1609" s="67"/>
      <c r="Q1609" s="67"/>
      <c r="R1609" s="67"/>
      <c r="S1609" s="67"/>
      <c r="T1609" s="67"/>
      <c r="U1609" s="67"/>
      <c r="V1609" s="67"/>
      <c r="W1609" s="67"/>
      <c r="X1609" s="67"/>
      <c r="Y1609" s="67"/>
      <c r="Z1609" s="67"/>
      <c r="AA1609" s="67"/>
      <c r="AB1609" s="67"/>
      <c r="AC1609" s="67"/>
      <c r="AD1609" s="67"/>
      <c r="AE1609" s="67"/>
      <c r="AF1609" s="67"/>
      <c r="AG1609" s="67"/>
    </row>
    <row r="1610" spans="1:33">
      <c r="A1610" s="9"/>
      <c r="B1610" s="67"/>
      <c r="C1610" s="67"/>
      <c r="D1610" s="67"/>
      <c r="E1610" s="67"/>
      <c r="F1610" s="67"/>
      <c r="G1610" s="67"/>
      <c r="H1610" s="67"/>
      <c r="I1610" s="67"/>
      <c r="J1610" s="67"/>
      <c r="K1610" s="67"/>
      <c r="L1610" s="67"/>
      <c r="M1610" s="67"/>
      <c r="N1610" s="67"/>
      <c r="O1610" s="67"/>
      <c r="P1610" s="67"/>
      <c r="Q1610" s="67"/>
      <c r="R1610" s="67"/>
      <c r="S1610" s="67"/>
      <c r="T1610" s="67"/>
      <c r="U1610" s="67"/>
      <c r="V1610" s="67"/>
      <c r="W1610" s="67"/>
      <c r="X1610" s="67"/>
      <c r="Y1610" s="67"/>
      <c r="Z1610" s="67"/>
      <c r="AA1610" s="67"/>
      <c r="AB1610" s="67"/>
      <c r="AC1610" s="67"/>
      <c r="AD1610" s="67"/>
      <c r="AE1610" s="67"/>
      <c r="AF1610" s="67"/>
      <c r="AG1610" s="67"/>
    </row>
    <row r="1611" spans="1:33">
      <c r="A1611" s="9"/>
      <c r="B1611" s="67"/>
      <c r="C1611" s="67"/>
      <c r="D1611" s="67"/>
      <c r="E1611" s="67"/>
      <c r="F1611" s="67"/>
      <c r="G1611" s="67"/>
      <c r="H1611" s="67"/>
      <c r="I1611" s="67"/>
      <c r="J1611" s="67"/>
      <c r="K1611" s="67"/>
      <c r="L1611" s="67"/>
      <c r="M1611" s="67"/>
      <c r="N1611" s="67"/>
      <c r="O1611" s="67"/>
      <c r="P1611" s="67"/>
      <c r="Q1611" s="67"/>
      <c r="R1611" s="67"/>
      <c r="S1611" s="67"/>
      <c r="T1611" s="67"/>
      <c r="U1611" s="67"/>
      <c r="V1611" s="67"/>
      <c r="W1611" s="67"/>
      <c r="X1611" s="67"/>
      <c r="Y1611" s="67"/>
      <c r="Z1611" s="67"/>
      <c r="AA1611" s="67"/>
      <c r="AB1611" s="67"/>
      <c r="AC1611" s="67"/>
      <c r="AD1611" s="67"/>
      <c r="AE1611" s="67"/>
      <c r="AF1611" s="67"/>
      <c r="AG1611" s="67"/>
    </row>
    <row r="1612" spans="1:33">
      <c r="A1612" s="9"/>
      <c r="B1612" s="67"/>
      <c r="C1612" s="67"/>
      <c r="D1612" s="67"/>
      <c r="E1612" s="67"/>
      <c r="F1612" s="67"/>
      <c r="G1612" s="67"/>
      <c r="H1612" s="67"/>
      <c r="I1612" s="67"/>
      <c r="J1612" s="67"/>
      <c r="K1612" s="67"/>
      <c r="L1612" s="67"/>
      <c r="M1612" s="67"/>
      <c r="N1612" s="67"/>
      <c r="O1612" s="67"/>
      <c r="P1612" s="67"/>
      <c r="Q1612" s="67"/>
      <c r="R1612" s="67"/>
      <c r="S1612" s="67"/>
      <c r="T1612" s="67"/>
      <c r="U1612" s="67"/>
      <c r="V1612" s="67"/>
      <c r="W1612" s="67"/>
      <c r="X1612" s="67"/>
      <c r="Y1612" s="67"/>
      <c r="Z1612" s="67"/>
      <c r="AA1612" s="67"/>
      <c r="AB1612" s="67"/>
      <c r="AC1612" s="67"/>
      <c r="AD1612" s="67"/>
      <c r="AE1612" s="67"/>
      <c r="AF1612" s="67"/>
      <c r="AG1612" s="67"/>
    </row>
    <row r="1613" spans="1:33">
      <c r="A1613" s="9"/>
      <c r="B1613" s="67"/>
      <c r="C1613" s="67"/>
      <c r="D1613" s="67"/>
      <c r="E1613" s="67"/>
      <c r="F1613" s="67"/>
      <c r="G1613" s="67"/>
      <c r="H1613" s="67"/>
      <c r="I1613" s="67"/>
      <c r="J1613" s="67"/>
      <c r="K1613" s="67"/>
      <c r="L1613" s="67"/>
      <c r="M1613" s="67"/>
      <c r="N1613" s="67"/>
      <c r="O1613" s="67"/>
      <c r="P1613" s="67"/>
      <c r="Q1613" s="67"/>
      <c r="R1613" s="67"/>
      <c r="S1613" s="67"/>
      <c r="T1613" s="67"/>
      <c r="U1613" s="67"/>
      <c r="V1613" s="67"/>
      <c r="W1613" s="67"/>
      <c r="X1613" s="67"/>
      <c r="Y1613" s="67"/>
      <c r="Z1613" s="67"/>
      <c r="AA1613" s="67"/>
      <c r="AB1613" s="67"/>
      <c r="AC1613" s="67"/>
      <c r="AD1613" s="67"/>
      <c r="AE1613" s="67"/>
      <c r="AF1613" s="67"/>
      <c r="AG1613" s="67"/>
    </row>
    <row r="1614" spans="1:33">
      <c r="A1614" s="9"/>
      <c r="B1614" s="67"/>
      <c r="C1614" s="67"/>
      <c r="D1614" s="67"/>
      <c r="E1614" s="67"/>
      <c r="F1614" s="67"/>
      <c r="G1614" s="67"/>
      <c r="H1614" s="67"/>
      <c r="I1614" s="67"/>
      <c r="J1614" s="67"/>
      <c r="K1614" s="67"/>
      <c r="L1614" s="67"/>
      <c r="M1614" s="67"/>
      <c r="N1614" s="67"/>
      <c r="O1614" s="67"/>
      <c r="P1614" s="67"/>
      <c r="Q1614" s="67"/>
      <c r="R1614" s="67"/>
      <c r="S1614" s="67"/>
      <c r="T1614" s="67"/>
      <c r="U1614" s="67"/>
      <c r="V1614" s="67"/>
      <c r="W1614" s="67"/>
      <c r="X1614" s="67"/>
      <c r="Y1614" s="67"/>
      <c r="Z1614" s="67"/>
      <c r="AA1614" s="67"/>
      <c r="AB1614" s="67"/>
      <c r="AC1614" s="67"/>
      <c r="AD1614" s="67"/>
      <c r="AE1614" s="67"/>
      <c r="AF1614" s="67"/>
      <c r="AG1614" s="67"/>
    </row>
    <row r="1615" spans="1:33">
      <c r="A1615" s="9"/>
      <c r="B1615" s="67"/>
      <c r="C1615" s="67"/>
      <c r="D1615" s="67"/>
      <c r="E1615" s="67"/>
      <c r="F1615" s="67"/>
      <c r="G1615" s="67"/>
      <c r="H1615" s="67"/>
      <c r="I1615" s="67"/>
      <c r="J1615" s="67"/>
      <c r="K1615" s="67"/>
      <c r="L1615" s="67"/>
      <c r="M1615" s="67"/>
      <c r="N1615" s="67"/>
      <c r="O1615" s="67"/>
      <c r="P1615" s="67"/>
      <c r="Q1615" s="67"/>
      <c r="R1615" s="67"/>
      <c r="S1615" s="67"/>
      <c r="T1615" s="67"/>
      <c r="U1615" s="67"/>
      <c r="V1615" s="67"/>
      <c r="W1615" s="67"/>
      <c r="X1615" s="67"/>
      <c r="Y1615" s="67"/>
      <c r="Z1615" s="67"/>
      <c r="AA1615" s="67"/>
      <c r="AB1615" s="67"/>
      <c r="AC1615" s="67"/>
      <c r="AD1615" s="67"/>
      <c r="AE1615" s="67"/>
      <c r="AF1615" s="67"/>
      <c r="AG1615" s="67"/>
    </row>
    <row r="1616" spans="1:33">
      <c r="A1616" s="9"/>
      <c r="B1616" s="67"/>
      <c r="C1616" s="67"/>
      <c r="D1616" s="67"/>
      <c r="E1616" s="67"/>
      <c r="F1616" s="67"/>
      <c r="G1616" s="67"/>
      <c r="H1616" s="67"/>
      <c r="I1616" s="67"/>
      <c r="J1616" s="67"/>
      <c r="K1616" s="67"/>
      <c r="L1616" s="67"/>
      <c r="M1616" s="67"/>
      <c r="N1616" s="67"/>
      <c r="O1616" s="67"/>
      <c r="P1616" s="67"/>
      <c r="Q1616" s="67"/>
      <c r="R1616" s="67"/>
      <c r="S1616" s="67"/>
      <c r="T1616" s="67"/>
      <c r="U1616" s="67"/>
      <c r="V1616" s="67"/>
      <c r="W1616" s="67"/>
      <c r="X1616" s="67"/>
      <c r="Y1616" s="67"/>
      <c r="Z1616" s="67"/>
      <c r="AA1616" s="67"/>
      <c r="AB1616" s="67"/>
      <c r="AC1616" s="67"/>
      <c r="AD1616" s="67"/>
      <c r="AE1616" s="67"/>
      <c r="AF1616" s="67"/>
      <c r="AG1616" s="67"/>
    </row>
    <row r="1617" spans="1:33">
      <c r="A1617" s="9"/>
      <c r="B1617" s="67"/>
      <c r="C1617" s="67"/>
      <c r="D1617" s="67"/>
      <c r="E1617" s="67"/>
      <c r="F1617" s="67"/>
      <c r="G1617" s="67"/>
      <c r="H1617" s="67"/>
      <c r="I1617" s="67"/>
      <c r="J1617" s="67"/>
      <c r="K1617" s="67"/>
      <c r="L1617" s="67"/>
      <c r="M1617" s="67"/>
      <c r="N1617" s="67"/>
      <c r="O1617" s="67"/>
      <c r="P1617" s="67"/>
      <c r="Q1617" s="67"/>
      <c r="R1617" s="67"/>
      <c r="S1617" s="67"/>
      <c r="T1617" s="67"/>
      <c r="U1617" s="67"/>
      <c r="V1617" s="67"/>
      <c r="W1617" s="67"/>
      <c r="X1617" s="67"/>
      <c r="Y1617" s="67"/>
      <c r="Z1617" s="67"/>
      <c r="AA1617" s="67"/>
      <c r="AB1617" s="67"/>
      <c r="AC1617" s="67"/>
      <c r="AD1617" s="67"/>
      <c r="AE1617" s="67"/>
      <c r="AF1617" s="67"/>
      <c r="AG1617" s="67"/>
    </row>
    <row r="1618" spans="1:33">
      <c r="A1618" s="9"/>
      <c r="B1618" s="67"/>
      <c r="C1618" s="67"/>
      <c r="D1618" s="67"/>
      <c r="E1618" s="67"/>
      <c r="F1618" s="67"/>
      <c r="G1618" s="67"/>
      <c r="H1618" s="67"/>
      <c r="I1618" s="67"/>
      <c r="J1618" s="67"/>
      <c r="K1618" s="67"/>
      <c r="L1618" s="67"/>
      <c r="M1618" s="67"/>
      <c r="N1618" s="67"/>
      <c r="O1618" s="67"/>
      <c r="P1618" s="67"/>
      <c r="Q1618" s="67"/>
      <c r="R1618" s="67"/>
      <c r="S1618" s="67"/>
      <c r="T1618" s="67"/>
      <c r="U1618" s="67"/>
      <c r="V1618" s="67"/>
      <c r="W1618" s="67"/>
      <c r="X1618" s="67"/>
      <c r="Y1618" s="67"/>
      <c r="Z1618" s="67"/>
      <c r="AA1618" s="67"/>
      <c r="AB1618" s="67"/>
      <c r="AC1618" s="67"/>
      <c r="AD1618" s="67"/>
      <c r="AE1618" s="67"/>
      <c r="AF1618" s="67"/>
      <c r="AG1618" s="67"/>
    </row>
    <row r="1619" spans="1:33">
      <c r="A1619" s="9"/>
      <c r="B1619" s="67"/>
      <c r="C1619" s="67"/>
      <c r="D1619" s="67"/>
      <c r="E1619" s="67"/>
      <c r="F1619" s="67"/>
      <c r="G1619" s="67"/>
      <c r="H1619" s="67"/>
      <c r="I1619" s="67"/>
      <c r="J1619" s="67"/>
      <c r="K1619" s="67"/>
      <c r="L1619" s="67"/>
      <c r="M1619" s="67"/>
      <c r="N1619" s="67"/>
      <c r="O1619" s="67"/>
      <c r="P1619" s="67"/>
      <c r="Q1619" s="67"/>
      <c r="R1619" s="67"/>
      <c r="S1619" s="67"/>
      <c r="T1619" s="67"/>
      <c r="U1619" s="67"/>
      <c r="V1619" s="67"/>
      <c r="W1619" s="67"/>
      <c r="X1619" s="67"/>
      <c r="Y1619" s="67"/>
      <c r="Z1619" s="67"/>
      <c r="AA1619" s="67"/>
      <c r="AB1619" s="67"/>
      <c r="AC1619" s="67"/>
      <c r="AD1619" s="67"/>
      <c r="AE1619" s="67"/>
      <c r="AF1619" s="67"/>
      <c r="AG1619" s="67"/>
    </row>
    <row r="1620" spans="1:33">
      <c r="A1620" s="9"/>
      <c r="B1620" s="67"/>
      <c r="C1620" s="67"/>
      <c r="D1620" s="67"/>
      <c r="E1620" s="67"/>
      <c r="F1620" s="67"/>
      <c r="G1620" s="67"/>
      <c r="H1620" s="67"/>
      <c r="I1620" s="67"/>
      <c r="J1620" s="67"/>
      <c r="K1620" s="67"/>
      <c r="L1620" s="67"/>
      <c r="M1620" s="67"/>
      <c r="N1620" s="67"/>
      <c r="O1620" s="67"/>
      <c r="P1620" s="67"/>
      <c r="Q1620" s="67"/>
      <c r="R1620" s="67"/>
      <c r="S1620" s="67"/>
      <c r="T1620" s="67"/>
      <c r="U1620" s="67"/>
      <c r="V1620" s="67"/>
      <c r="W1620" s="67"/>
      <c r="X1620" s="67"/>
      <c r="Y1620" s="67"/>
      <c r="Z1620" s="67"/>
      <c r="AA1620" s="67"/>
      <c r="AB1620" s="67"/>
      <c r="AC1620" s="67"/>
      <c r="AD1620" s="67"/>
      <c r="AE1620" s="67"/>
      <c r="AF1620" s="67"/>
      <c r="AG1620" s="67"/>
    </row>
    <row r="1621" spans="1:33">
      <c r="A1621" s="9"/>
      <c r="B1621" s="67"/>
      <c r="C1621" s="67"/>
      <c r="D1621" s="67"/>
      <c r="E1621" s="67"/>
      <c r="F1621" s="67"/>
      <c r="G1621" s="67"/>
      <c r="H1621" s="67"/>
      <c r="I1621" s="67"/>
      <c r="J1621" s="67"/>
      <c r="K1621" s="67"/>
      <c r="L1621" s="67"/>
      <c r="M1621" s="67"/>
      <c r="N1621" s="67"/>
      <c r="O1621" s="67"/>
      <c r="P1621" s="67"/>
      <c r="Q1621" s="67"/>
      <c r="R1621" s="67"/>
      <c r="S1621" s="67"/>
      <c r="T1621" s="67"/>
      <c r="U1621" s="67"/>
      <c r="V1621" s="67"/>
      <c r="W1621" s="67"/>
      <c r="X1621" s="67"/>
      <c r="Y1621" s="67"/>
      <c r="Z1621" s="67"/>
      <c r="AA1621" s="67"/>
      <c r="AB1621" s="67"/>
      <c r="AC1621" s="67"/>
      <c r="AD1621" s="67"/>
      <c r="AE1621" s="67"/>
      <c r="AF1621" s="67"/>
      <c r="AG1621" s="67"/>
    </row>
    <row r="1622" spans="1:33">
      <c r="A1622" s="9"/>
      <c r="B1622" s="67"/>
      <c r="C1622" s="67"/>
      <c r="D1622" s="67"/>
      <c r="E1622" s="67"/>
      <c r="F1622" s="67"/>
      <c r="G1622" s="67"/>
      <c r="H1622" s="67"/>
      <c r="I1622" s="67"/>
      <c r="J1622" s="67"/>
      <c r="K1622" s="67"/>
      <c r="L1622" s="67"/>
      <c r="M1622" s="67"/>
      <c r="N1622" s="67"/>
      <c r="O1622" s="67"/>
      <c r="P1622" s="67"/>
      <c r="Q1622" s="67"/>
      <c r="R1622" s="67"/>
      <c r="S1622" s="67"/>
      <c r="T1622" s="67"/>
      <c r="U1622" s="67"/>
      <c r="V1622" s="67"/>
      <c r="W1622" s="67"/>
      <c r="X1622" s="67"/>
      <c r="Y1622" s="67"/>
      <c r="Z1622" s="67"/>
      <c r="AA1622" s="67"/>
      <c r="AB1622" s="67"/>
      <c r="AC1622" s="67"/>
      <c r="AD1622" s="67"/>
      <c r="AE1622" s="67"/>
      <c r="AF1622" s="67"/>
      <c r="AG1622" s="67"/>
    </row>
    <row r="1623" spans="1:33">
      <c r="A1623" s="9"/>
      <c r="B1623" s="67"/>
      <c r="C1623" s="67"/>
      <c r="D1623" s="67"/>
      <c r="E1623" s="67"/>
      <c r="F1623" s="67"/>
      <c r="G1623" s="67"/>
      <c r="H1623" s="67"/>
      <c r="I1623" s="67"/>
      <c r="J1623" s="67"/>
      <c r="K1623" s="67"/>
      <c r="L1623" s="67"/>
      <c r="M1623" s="67"/>
      <c r="N1623" s="67"/>
      <c r="O1623" s="67"/>
      <c r="P1623" s="67"/>
      <c r="Q1623" s="67"/>
      <c r="R1623" s="67"/>
      <c r="S1623" s="67"/>
      <c r="T1623" s="67"/>
      <c r="U1623" s="67"/>
      <c r="V1623" s="67"/>
      <c r="W1623" s="67"/>
      <c r="X1623" s="67"/>
      <c r="Y1623" s="67"/>
      <c r="Z1623" s="67"/>
      <c r="AA1623" s="67"/>
      <c r="AB1623" s="67"/>
      <c r="AC1623" s="67"/>
      <c r="AD1623" s="67"/>
      <c r="AE1623" s="67"/>
      <c r="AF1623" s="67"/>
      <c r="AG1623" s="67"/>
    </row>
    <row r="1624" spans="1:33">
      <c r="A1624" s="9"/>
      <c r="B1624" s="67"/>
      <c r="C1624" s="67"/>
      <c r="D1624" s="67"/>
      <c r="E1624" s="67"/>
      <c r="F1624" s="67"/>
      <c r="G1624" s="67"/>
      <c r="H1624" s="67"/>
      <c r="I1624" s="67"/>
      <c r="J1624" s="67"/>
      <c r="K1624" s="67"/>
      <c r="L1624" s="67"/>
      <c r="M1624" s="67"/>
      <c r="N1624" s="67"/>
      <c r="O1624" s="67"/>
      <c r="P1624" s="67"/>
      <c r="Q1624" s="67"/>
      <c r="R1624" s="67"/>
      <c r="S1624" s="67"/>
      <c r="T1624" s="67"/>
      <c r="U1624" s="67"/>
      <c r="V1624" s="67"/>
      <c r="W1624" s="67"/>
      <c r="X1624" s="67"/>
      <c r="Y1624" s="67"/>
      <c r="Z1624" s="67"/>
      <c r="AA1624" s="67"/>
      <c r="AB1624" s="67"/>
      <c r="AC1624" s="67"/>
      <c r="AD1624" s="67"/>
      <c r="AE1624" s="67"/>
      <c r="AF1624" s="67"/>
      <c r="AG1624" s="67"/>
    </row>
    <row r="1625" spans="1:33">
      <c r="A1625" s="9"/>
      <c r="B1625" s="67"/>
      <c r="C1625" s="67"/>
      <c r="D1625" s="67"/>
      <c r="E1625" s="67"/>
      <c r="F1625" s="67"/>
      <c r="G1625" s="67"/>
      <c r="H1625" s="67"/>
      <c r="I1625" s="67"/>
      <c r="J1625" s="67"/>
      <c r="K1625" s="67"/>
      <c r="L1625" s="67"/>
      <c r="M1625" s="67"/>
      <c r="N1625" s="67"/>
      <c r="O1625" s="67"/>
      <c r="P1625" s="67"/>
      <c r="Q1625" s="67"/>
      <c r="R1625" s="67"/>
      <c r="S1625" s="67"/>
      <c r="T1625" s="67"/>
      <c r="U1625" s="67"/>
      <c r="V1625" s="67"/>
      <c r="W1625" s="67"/>
      <c r="X1625" s="67"/>
      <c r="Y1625" s="67"/>
      <c r="Z1625" s="67"/>
      <c r="AA1625" s="67"/>
      <c r="AB1625" s="67"/>
      <c r="AC1625" s="67"/>
      <c r="AD1625" s="67"/>
      <c r="AE1625" s="67"/>
      <c r="AF1625" s="67"/>
      <c r="AG1625" s="67"/>
    </row>
    <row r="1626" spans="1:33">
      <c r="A1626" s="9"/>
      <c r="B1626" s="67"/>
      <c r="C1626" s="67"/>
      <c r="D1626" s="67"/>
      <c r="E1626" s="67"/>
      <c r="F1626" s="67"/>
      <c r="G1626" s="67"/>
      <c r="H1626" s="67"/>
      <c r="I1626" s="67"/>
      <c r="J1626" s="67"/>
      <c r="K1626" s="67"/>
      <c r="L1626" s="67"/>
      <c r="M1626" s="67"/>
      <c r="N1626" s="67"/>
      <c r="O1626" s="67"/>
      <c r="P1626" s="67"/>
      <c r="Q1626" s="67"/>
      <c r="R1626" s="67"/>
      <c r="S1626" s="67"/>
      <c r="T1626" s="67"/>
      <c r="U1626" s="67"/>
      <c r="V1626" s="67"/>
      <c r="W1626" s="67"/>
      <c r="X1626" s="67"/>
      <c r="Y1626" s="67"/>
      <c r="Z1626" s="67"/>
      <c r="AA1626" s="67"/>
      <c r="AB1626" s="67"/>
      <c r="AC1626" s="67"/>
      <c r="AD1626" s="67"/>
      <c r="AE1626" s="67"/>
      <c r="AF1626" s="67"/>
      <c r="AG1626" s="67"/>
    </row>
    <row r="1627" spans="1:33">
      <c r="A1627" s="9"/>
      <c r="B1627" s="67"/>
      <c r="C1627" s="67"/>
      <c r="D1627" s="67"/>
      <c r="E1627" s="67"/>
      <c r="F1627" s="67"/>
      <c r="G1627" s="67"/>
      <c r="H1627" s="67"/>
      <c r="I1627" s="67"/>
      <c r="J1627" s="67"/>
      <c r="K1627" s="67"/>
      <c r="L1627" s="67"/>
      <c r="M1627" s="67"/>
      <c r="N1627" s="67"/>
      <c r="O1627" s="67"/>
      <c r="P1627" s="67"/>
      <c r="Q1627" s="67"/>
      <c r="R1627" s="67"/>
      <c r="S1627" s="67"/>
      <c r="T1627" s="67"/>
      <c r="U1627" s="67"/>
      <c r="V1627" s="67"/>
      <c r="W1627" s="67"/>
      <c r="X1627" s="67"/>
      <c r="Y1627" s="67"/>
      <c r="Z1627" s="67"/>
      <c r="AA1627" s="67"/>
      <c r="AB1627" s="67"/>
      <c r="AC1627" s="67"/>
      <c r="AD1627" s="67"/>
      <c r="AE1627" s="67"/>
      <c r="AF1627" s="67"/>
      <c r="AG1627" s="67"/>
    </row>
    <row r="1628" spans="1:33">
      <c r="A1628" s="9"/>
      <c r="B1628" s="67"/>
      <c r="C1628" s="67"/>
      <c r="D1628" s="67"/>
      <c r="E1628" s="67"/>
      <c r="F1628" s="67"/>
      <c r="G1628" s="67"/>
      <c r="H1628" s="67"/>
      <c r="I1628" s="67"/>
      <c r="J1628" s="67"/>
      <c r="K1628" s="67"/>
      <c r="L1628" s="67"/>
      <c r="M1628" s="67"/>
      <c r="N1628" s="67"/>
      <c r="O1628" s="67"/>
      <c r="P1628" s="67"/>
      <c r="Q1628" s="67"/>
      <c r="R1628" s="67"/>
      <c r="S1628" s="67"/>
      <c r="T1628" s="67"/>
      <c r="U1628" s="67"/>
      <c r="V1628" s="67"/>
      <c r="W1628" s="67"/>
      <c r="X1628" s="67"/>
      <c r="Y1628" s="67"/>
      <c r="Z1628" s="67"/>
      <c r="AA1628" s="67"/>
      <c r="AB1628" s="67"/>
      <c r="AC1628" s="67"/>
      <c r="AD1628" s="67"/>
      <c r="AE1628" s="67"/>
      <c r="AF1628" s="67"/>
      <c r="AG1628" s="67"/>
    </row>
    <row r="1629" spans="1:33">
      <c r="A1629" s="9"/>
      <c r="B1629" s="67"/>
      <c r="C1629" s="67"/>
      <c r="D1629" s="67"/>
      <c r="E1629" s="67"/>
      <c r="F1629" s="67"/>
      <c r="G1629" s="67"/>
      <c r="H1629" s="67"/>
      <c r="I1629" s="67"/>
      <c r="J1629" s="67"/>
      <c r="K1629" s="67"/>
      <c r="L1629" s="67"/>
      <c r="M1629" s="67"/>
      <c r="N1629" s="67"/>
      <c r="O1629" s="67"/>
      <c r="P1629" s="67"/>
      <c r="Q1629" s="67"/>
      <c r="R1629" s="67"/>
      <c r="S1629" s="67"/>
      <c r="T1629" s="67"/>
      <c r="U1629" s="67"/>
      <c r="V1629" s="67"/>
      <c r="W1629" s="67"/>
      <c r="X1629" s="67"/>
      <c r="Y1629" s="67"/>
      <c r="Z1629" s="67"/>
      <c r="AA1629" s="67"/>
      <c r="AB1629" s="67"/>
      <c r="AC1629" s="67"/>
      <c r="AD1629" s="67"/>
      <c r="AE1629" s="67"/>
      <c r="AF1629" s="67"/>
      <c r="AG1629" s="67"/>
    </row>
    <row r="1630" spans="1:33">
      <c r="A1630" s="9"/>
      <c r="B1630" s="67"/>
      <c r="C1630" s="67"/>
      <c r="D1630" s="67"/>
      <c r="E1630" s="67"/>
      <c r="F1630" s="67"/>
      <c r="G1630" s="67"/>
      <c r="H1630" s="67"/>
      <c r="I1630" s="67"/>
      <c r="J1630" s="67"/>
      <c r="K1630" s="67"/>
      <c r="L1630" s="67"/>
      <c r="M1630" s="67"/>
      <c r="N1630" s="67"/>
      <c r="O1630" s="67"/>
      <c r="P1630" s="67"/>
      <c r="Q1630" s="67"/>
      <c r="R1630" s="67"/>
      <c r="S1630" s="67"/>
      <c r="T1630" s="67"/>
      <c r="U1630" s="67"/>
      <c r="V1630" s="67"/>
      <c r="W1630" s="67"/>
      <c r="X1630" s="67"/>
      <c r="Y1630" s="67"/>
      <c r="Z1630" s="67"/>
      <c r="AA1630" s="67"/>
      <c r="AB1630" s="67"/>
      <c r="AC1630" s="67"/>
      <c r="AD1630" s="67"/>
      <c r="AE1630" s="67"/>
      <c r="AF1630" s="67"/>
      <c r="AG1630" s="67"/>
    </row>
    <row r="1631" spans="1:33">
      <c r="A1631" s="9"/>
      <c r="B1631" s="67"/>
      <c r="C1631" s="67"/>
      <c r="D1631" s="67"/>
      <c r="E1631" s="67"/>
      <c r="F1631" s="67"/>
      <c r="G1631" s="67"/>
      <c r="H1631" s="67"/>
      <c r="I1631" s="67"/>
      <c r="J1631" s="67"/>
      <c r="K1631" s="67"/>
      <c r="L1631" s="67"/>
      <c r="M1631" s="67"/>
      <c r="N1631" s="67"/>
      <c r="O1631" s="67"/>
      <c r="P1631" s="67"/>
      <c r="Q1631" s="67"/>
      <c r="R1631" s="67"/>
      <c r="S1631" s="67"/>
      <c r="T1631" s="67"/>
      <c r="U1631" s="67"/>
      <c r="V1631" s="67"/>
      <c r="W1631" s="67"/>
      <c r="X1631" s="67"/>
      <c r="Y1631" s="67"/>
      <c r="Z1631" s="67"/>
      <c r="AA1631" s="67"/>
      <c r="AB1631" s="67"/>
      <c r="AC1631" s="67"/>
      <c r="AD1631" s="67"/>
      <c r="AE1631" s="67"/>
      <c r="AF1631" s="67"/>
      <c r="AG1631" s="67"/>
    </row>
    <row r="1632" spans="1:33">
      <c r="A1632" s="9"/>
      <c r="B1632" s="67"/>
      <c r="C1632" s="67"/>
      <c r="D1632" s="67"/>
      <c r="E1632" s="67"/>
      <c r="F1632" s="67"/>
      <c r="G1632" s="67"/>
      <c r="H1632" s="67"/>
      <c r="I1632" s="67"/>
      <c r="J1632" s="67"/>
      <c r="K1632" s="67"/>
      <c r="L1632" s="67"/>
      <c r="M1632" s="67"/>
      <c r="N1632" s="67"/>
      <c r="O1632" s="67"/>
      <c r="P1632" s="67"/>
      <c r="Q1632" s="67"/>
      <c r="R1632" s="67"/>
      <c r="S1632" s="67"/>
      <c r="T1632" s="67"/>
      <c r="U1632" s="67"/>
      <c r="V1632" s="67"/>
      <c r="W1632" s="67"/>
      <c r="X1632" s="67"/>
      <c r="Y1632" s="67"/>
      <c r="Z1632" s="67"/>
      <c r="AA1632" s="67"/>
      <c r="AB1632" s="67"/>
      <c r="AC1632" s="67"/>
      <c r="AD1632" s="67"/>
      <c r="AE1632" s="67"/>
      <c r="AF1632" s="67"/>
      <c r="AG1632" s="67"/>
    </row>
    <row r="1633" spans="1:33">
      <c r="A1633" s="9"/>
      <c r="B1633" s="67"/>
      <c r="C1633" s="67"/>
      <c r="D1633" s="67"/>
      <c r="E1633" s="67"/>
      <c r="F1633" s="67"/>
      <c r="G1633" s="67"/>
      <c r="H1633" s="67"/>
      <c r="I1633" s="67"/>
      <c r="J1633" s="67"/>
      <c r="K1633" s="67"/>
      <c r="L1633" s="67"/>
      <c r="M1633" s="67"/>
      <c r="N1633" s="67"/>
      <c r="O1633" s="67"/>
      <c r="P1633" s="67"/>
      <c r="Q1633" s="67"/>
      <c r="R1633" s="67"/>
      <c r="S1633" s="67"/>
      <c r="T1633" s="67"/>
      <c r="U1633" s="67"/>
      <c r="V1633" s="67"/>
      <c r="W1633" s="67"/>
      <c r="X1633" s="67"/>
      <c r="Y1633" s="67"/>
      <c r="Z1633" s="67"/>
      <c r="AA1633" s="67"/>
      <c r="AB1633" s="67"/>
      <c r="AC1633" s="67"/>
      <c r="AD1633" s="67"/>
      <c r="AE1633" s="67"/>
      <c r="AF1633" s="67"/>
      <c r="AG1633" s="67"/>
    </row>
    <row r="1634" spans="1:33">
      <c r="A1634" s="9"/>
      <c r="B1634" s="67"/>
      <c r="C1634" s="67"/>
      <c r="D1634" s="67"/>
      <c r="E1634" s="67"/>
      <c r="F1634" s="67"/>
      <c r="G1634" s="67"/>
      <c r="H1634" s="67"/>
      <c r="I1634" s="67"/>
      <c r="J1634" s="67"/>
      <c r="K1634" s="67"/>
      <c r="L1634" s="67"/>
      <c r="M1634" s="67"/>
      <c r="N1634" s="67"/>
      <c r="O1634" s="67"/>
      <c r="P1634" s="67"/>
      <c r="Q1634" s="67"/>
      <c r="R1634" s="67"/>
      <c r="S1634" s="67"/>
      <c r="T1634" s="67"/>
      <c r="U1634" s="67"/>
      <c r="V1634" s="67"/>
      <c r="W1634" s="67"/>
      <c r="X1634" s="67"/>
      <c r="Y1634" s="67"/>
      <c r="Z1634" s="67"/>
      <c r="AA1634" s="67"/>
      <c r="AB1634" s="67"/>
      <c r="AC1634" s="67"/>
      <c r="AD1634" s="67"/>
      <c r="AE1634" s="67"/>
      <c r="AF1634" s="67"/>
      <c r="AG1634" s="67"/>
    </row>
    <row r="1635" spans="1:33">
      <c r="A1635" s="9"/>
      <c r="B1635" s="67"/>
      <c r="C1635" s="67"/>
      <c r="D1635" s="67"/>
      <c r="E1635" s="67"/>
      <c r="F1635" s="67"/>
      <c r="G1635" s="67"/>
      <c r="H1635" s="67"/>
      <c r="I1635" s="67"/>
      <c r="J1635" s="67"/>
      <c r="K1635" s="67"/>
      <c r="L1635" s="67"/>
      <c r="M1635" s="67"/>
      <c r="N1635" s="67"/>
      <c r="O1635" s="67"/>
      <c r="P1635" s="67"/>
      <c r="Q1635" s="67"/>
      <c r="R1635" s="67"/>
      <c r="S1635" s="67"/>
      <c r="T1635" s="67"/>
      <c r="U1635" s="67"/>
      <c r="V1635" s="67"/>
      <c r="W1635" s="67"/>
      <c r="X1635" s="67"/>
      <c r="Y1635" s="67"/>
      <c r="Z1635" s="67"/>
      <c r="AA1635" s="67"/>
      <c r="AB1635" s="67"/>
      <c r="AC1635" s="67"/>
      <c r="AD1635" s="67"/>
      <c r="AE1635" s="67"/>
      <c r="AF1635" s="67"/>
      <c r="AG1635" s="67"/>
    </row>
    <row r="1636" spans="1:33">
      <c r="A1636" s="9"/>
      <c r="B1636" s="67"/>
      <c r="C1636" s="67"/>
      <c r="D1636" s="67"/>
      <c r="E1636" s="67"/>
      <c r="F1636" s="67"/>
      <c r="G1636" s="67"/>
      <c r="H1636" s="67"/>
      <c r="I1636" s="67"/>
      <c r="J1636" s="67"/>
      <c r="K1636" s="67"/>
      <c r="L1636" s="67"/>
      <c r="M1636" s="67"/>
      <c r="N1636" s="67"/>
      <c r="O1636" s="67"/>
      <c r="P1636" s="67"/>
      <c r="Q1636" s="67"/>
      <c r="R1636" s="67"/>
      <c r="S1636" s="67"/>
      <c r="T1636" s="67"/>
      <c r="U1636" s="67"/>
      <c r="V1636" s="67"/>
      <c r="W1636" s="67"/>
      <c r="X1636" s="67"/>
      <c r="Y1636" s="67"/>
      <c r="Z1636" s="67"/>
      <c r="AA1636" s="67"/>
      <c r="AB1636" s="67"/>
      <c r="AC1636" s="67"/>
      <c r="AD1636" s="67"/>
      <c r="AE1636" s="67"/>
      <c r="AF1636" s="67"/>
      <c r="AG1636" s="67"/>
    </row>
    <row r="1637" spans="1:33">
      <c r="A1637" s="9"/>
      <c r="B1637" s="67"/>
      <c r="C1637" s="67"/>
      <c r="D1637" s="67"/>
      <c r="E1637" s="67"/>
      <c r="F1637" s="67"/>
      <c r="G1637" s="67"/>
      <c r="H1637" s="67"/>
      <c r="I1637" s="67"/>
      <c r="J1637" s="67"/>
      <c r="K1637" s="67"/>
      <c r="L1637" s="67"/>
      <c r="M1637" s="67"/>
      <c r="N1637" s="67"/>
      <c r="O1637" s="67"/>
      <c r="P1637" s="67"/>
      <c r="Q1637" s="67"/>
      <c r="R1637" s="67"/>
      <c r="S1637" s="67"/>
      <c r="T1637" s="67"/>
      <c r="U1637" s="67"/>
      <c r="V1637" s="67"/>
      <c r="W1637" s="67"/>
      <c r="X1637" s="67"/>
      <c r="Y1637" s="67"/>
      <c r="Z1637" s="67"/>
      <c r="AA1637" s="67"/>
      <c r="AB1637" s="67"/>
      <c r="AC1637" s="67"/>
      <c r="AD1637" s="67"/>
      <c r="AE1637" s="67"/>
      <c r="AF1637" s="67"/>
      <c r="AG1637" s="67"/>
    </row>
    <row r="1638" spans="1:33">
      <c r="A1638" s="9"/>
      <c r="B1638" s="67"/>
      <c r="C1638" s="67"/>
      <c r="D1638" s="67"/>
      <c r="E1638" s="67"/>
      <c r="F1638" s="67"/>
      <c r="G1638" s="67"/>
      <c r="H1638" s="67"/>
      <c r="I1638" s="67"/>
      <c r="J1638" s="67"/>
      <c r="K1638" s="67"/>
      <c r="L1638" s="67"/>
      <c r="M1638" s="67"/>
      <c r="N1638" s="67"/>
      <c r="O1638" s="67"/>
      <c r="P1638" s="67"/>
      <c r="Q1638" s="67"/>
      <c r="R1638" s="67"/>
      <c r="S1638" s="67"/>
      <c r="T1638" s="67"/>
      <c r="U1638" s="67"/>
      <c r="V1638" s="67"/>
      <c r="W1638" s="67"/>
      <c r="X1638" s="67"/>
      <c r="Y1638" s="67"/>
      <c r="Z1638" s="67"/>
      <c r="AA1638" s="67"/>
      <c r="AB1638" s="67"/>
      <c r="AC1638" s="67"/>
      <c r="AD1638" s="67"/>
      <c r="AE1638" s="67"/>
      <c r="AF1638" s="67"/>
      <c r="AG1638" s="67"/>
    </row>
    <row r="1639" spans="1:33">
      <c r="A1639" s="9"/>
      <c r="B1639" s="67"/>
      <c r="C1639" s="67"/>
      <c r="D1639" s="67"/>
      <c r="E1639" s="67"/>
      <c r="F1639" s="67"/>
      <c r="G1639" s="67"/>
      <c r="H1639" s="67"/>
      <c r="I1639" s="67"/>
      <c r="J1639" s="67"/>
      <c r="K1639" s="67"/>
      <c r="L1639" s="67"/>
      <c r="M1639" s="67"/>
      <c r="N1639" s="67"/>
      <c r="O1639" s="67"/>
      <c r="P1639" s="67"/>
      <c r="Q1639" s="67"/>
      <c r="R1639" s="67"/>
      <c r="S1639" s="67"/>
      <c r="T1639" s="67"/>
      <c r="U1639" s="67"/>
      <c r="V1639" s="67"/>
      <c r="W1639" s="67"/>
      <c r="X1639" s="67"/>
      <c r="Y1639" s="67"/>
      <c r="Z1639" s="67"/>
      <c r="AA1639" s="67"/>
      <c r="AB1639" s="67"/>
      <c r="AC1639" s="67"/>
      <c r="AD1639" s="67"/>
      <c r="AE1639" s="67"/>
      <c r="AF1639" s="67"/>
      <c r="AG1639" s="67"/>
    </row>
    <row r="1640" spans="1:33">
      <c r="A1640" s="9"/>
      <c r="B1640" s="67"/>
      <c r="C1640" s="67"/>
      <c r="D1640" s="67"/>
      <c r="E1640" s="67"/>
      <c r="F1640" s="67"/>
      <c r="G1640" s="67"/>
      <c r="H1640" s="67"/>
      <c r="I1640" s="67"/>
      <c r="J1640" s="67"/>
      <c r="K1640" s="67"/>
      <c r="L1640" s="67"/>
      <c r="M1640" s="67"/>
      <c r="N1640" s="67"/>
      <c r="O1640" s="67"/>
      <c r="P1640" s="67"/>
      <c r="Q1640" s="67"/>
      <c r="R1640" s="67"/>
      <c r="S1640" s="67"/>
      <c r="T1640" s="67"/>
      <c r="U1640" s="67"/>
      <c r="V1640" s="67"/>
      <c r="W1640" s="67"/>
      <c r="X1640" s="67"/>
      <c r="Y1640" s="67"/>
      <c r="Z1640" s="67"/>
      <c r="AA1640" s="67"/>
      <c r="AB1640" s="67"/>
      <c r="AC1640" s="67"/>
      <c r="AD1640" s="67"/>
      <c r="AE1640" s="67"/>
      <c r="AF1640" s="67"/>
      <c r="AG1640" s="67"/>
    </row>
    <row r="1641" spans="1:33">
      <c r="A1641" s="9"/>
      <c r="B1641" s="67"/>
      <c r="C1641" s="67"/>
      <c r="D1641" s="67"/>
      <c r="E1641" s="67"/>
      <c r="F1641" s="67"/>
      <c r="G1641" s="67"/>
      <c r="H1641" s="67"/>
      <c r="I1641" s="67"/>
      <c r="J1641" s="67"/>
      <c r="K1641" s="67"/>
      <c r="L1641" s="67"/>
      <c r="M1641" s="67"/>
      <c r="N1641" s="67"/>
      <c r="O1641" s="67"/>
      <c r="P1641" s="67"/>
      <c r="Q1641" s="67"/>
      <c r="R1641" s="67"/>
      <c r="S1641" s="67"/>
      <c r="T1641" s="67"/>
      <c r="U1641" s="67"/>
      <c r="V1641" s="67"/>
      <c r="W1641" s="67"/>
      <c r="X1641" s="67"/>
      <c r="Y1641" s="67"/>
      <c r="Z1641" s="67"/>
      <c r="AA1641" s="67"/>
      <c r="AB1641" s="67"/>
      <c r="AC1641" s="67"/>
      <c r="AD1641" s="67"/>
      <c r="AE1641" s="67"/>
      <c r="AF1641" s="67"/>
      <c r="AG1641" s="67"/>
    </row>
    <row r="1642" spans="1:33">
      <c r="A1642" s="9"/>
      <c r="B1642" s="67"/>
      <c r="C1642" s="67"/>
      <c r="D1642" s="67"/>
      <c r="E1642" s="67"/>
      <c r="F1642" s="67"/>
      <c r="G1642" s="67"/>
      <c r="H1642" s="67"/>
      <c r="I1642" s="67"/>
      <c r="J1642" s="67"/>
      <c r="K1642" s="67"/>
      <c r="L1642" s="67"/>
      <c r="M1642" s="67"/>
      <c r="N1642" s="67"/>
      <c r="O1642" s="67"/>
      <c r="P1642" s="67"/>
      <c r="Q1642" s="67"/>
      <c r="R1642" s="67"/>
      <c r="S1642" s="67"/>
      <c r="T1642" s="67"/>
      <c r="U1642" s="67"/>
      <c r="V1642" s="67"/>
      <c r="W1642" s="67"/>
      <c r="X1642" s="67"/>
      <c r="Y1642" s="67"/>
      <c r="Z1642" s="67"/>
      <c r="AA1642" s="67"/>
      <c r="AB1642" s="67"/>
      <c r="AC1642" s="67"/>
      <c r="AD1642" s="67"/>
      <c r="AE1642" s="67"/>
      <c r="AF1642" s="67"/>
      <c r="AG1642" s="67"/>
    </row>
    <row r="1643" spans="1:33">
      <c r="A1643" s="9"/>
      <c r="B1643" s="67"/>
      <c r="C1643" s="67"/>
      <c r="D1643" s="67"/>
      <c r="E1643" s="67"/>
      <c r="F1643" s="67"/>
      <c r="G1643" s="67"/>
      <c r="H1643" s="67"/>
      <c r="I1643" s="67"/>
      <c r="J1643" s="67"/>
      <c r="K1643" s="67"/>
      <c r="L1643" s="67"/>
      <c r="M1643" s="67"/>
      <c r="N1643" s="67"/>
      <c r="O1643" s="67"/>
      <c r="P1643" s="67"/>
      <c r="Q1643" s="67"/>
      <c r="R1643" s="67"/>
      <c r="S1643" s="67"/>
      <c r="T1643" s="67"/>
      <c r="U1643" s="67"/>
      <c r="V1643" s="67"/>
      <c r="W1643" s="67"/>
      <c r="X1643" s="67"/>
      <c r="Y1643" s="67"/>
      <c r="Z1643" s="67"/>
      <c r="AA1643" s="67"/>
      <c r="AB1643" s="67"/>
      <c r="AC1643" s="67"/>
      <c r="AD1643" s="67"/>
      <c r="AE1643" s="67"/>
      <c r="AF1643" s="67"/>
      <c r="AG1643" s="67"/>
    </row>
    <row r="1644" spans="1:33">
      <c r="A1644" s="9"/>
      <c r="B1644" s="67"/>
      <c r="C1644" s="67"/>
      <c r="D1644" s="67"/>
      <c r="E1644" s="67"/>
      <c r="F1644" s="67"/>
      <c r="G1644" s="67"/>
      <c r="H1644" s="67"/>
      <c r="I1644" s="67"/>
      <c r="J1644" s="67"/>
      <c r="K1644" s="67"/>
      <c r="L1644" s="67"/>
      <c r="M1644" s="67"/>
      <c r="N1644" s="67"/>
      <c r="O1644" s="67"/>
      <c r="P1644" s="67"/>
      <c r="Q1644" s="67"/>
      <c r="R1644" s="67"/>
      <c r="S1644" s="67"/>
      <c r="T1644" s="67"/>
      <c r="U1644" s="67"/>
      <c r="V1644" s="67"/>
      <c r="W1644" s="67"/>
      <c r="X1644" s="67"/>
      <c r="Y1644" s="67"/>
      <c r="Z1644" s="67"/>
      <c r="AA1644" s="67"/>
      <c r="AB1644" s="67"/>
      <c r="AC1644" s="67"/>
      <c r="AD1644" s="67"/>
      <c r="AE1644" s="67"/>
      <c r="AF1644" s="67"/>
      <c r="AG1644" s="67"/>
    </row>
    <row r="1645" spans="1:33">
      <c r="A1645" s="9"/>
      <c r="B1645" s="67"/>
      <c r="C1645" s="67"/>
      <c r="D1645" s="67"/>
      <c r="E1645" s="67"/>
      <c r="F1645" s="67"/>
      <c r="G1645" s="67"/>
      <c r="H1645" s="67"/>
      <c r="I1645" s="67"/>
      <c r="J1645" s="67"/>
      <c r="K1645" s="67"/>
      <c r="L1645" s="67"/>
      <c r="M1645" s="67"/>
      <c r="N1645" s="67"/>
      <c r="O1645" s="67"/>
      <c r="P1645" s="67"/>
      <c r="Q1645" s="67"/>
      <c r="R1645" s="67"/>
      <c r="S1645" s="67"/>
      <c r="T1645" s="67"/>
      <c r="U1645" s="67"/>
      <c r="V1645" s="67"/>
      <c r="W1645" s="67"/>
      <c r="X1645" s="67"/>
      <c r="Y1645" s="67"/>
      <c r="Z1645" s="67"/>
      <c r="AA1645" s="67"/>
      <c r="AB1645" s="67"/>
      <c r="AC1645" s="67"/>
      <c r="AD1645" s="67"/>
      <c r="AE1645" s="67"/>
      <c r="AF1645" s="67"/>
      <c r="AG1645" s="67"/>
    </row>
    <row r="1646" spans="1:33">
      <c r="A1646" s="9"/>
      <c r="B1646" s="67"/>
      <c r="C1646" s="67"/>
      <c r="D1646" s="67"/>
      <c r="E1646" s="67"/>
      <c r="F1646" s="67"/>
      <c r="G1646" s="67"/>
      <c r="H1646" s="67"/>
      <c r="I1646" s="67"/>
      <c r="J1646" s="67"/>
      <c r="K1646" s="67"/>
      <c r="L1646" s="67"/>
      <c r="M1646" s="67"/>
      <c r="N1646" s="67"/>
      <c r="O1646" s="67"/>
      <c r="P1646" s="67"/>
      <c r="Q1646" s="67"/>
      <c r="R1646" s="67"/>
      <c r="S1646" s="67"/>
      <c r="T1646" s="67"/>
      <c r="U1646" s="67"/>
      <c r="V1646" s="67"/>
      <c r="W1646" s="67"/>
      <c r="X1646" s="67"/>
      <c r="Y1646" s="67"/>
      <c r="Z1646" s="67"/>
      <c r="AA1646" s="67"/>
      <c r="AB1646" s="67"/>
      <c r="AC1646" s="67"/>
      <c r="AD1646" s="67"/>
      <c r="AE1646" s="67"/>
      <c r="AF1646" s="67"/>
      <c r="AG1646" s="67"/>
    </row>
    <row r="1647" spans="1:33">
      <c r="A1647" s="9"/>
      <c r="B1647" s="67"/>
      <c r="C1647" s="67"/>
      <c r="D1647" s="67"/>
      <c r="E1647" s="67"/>
      <c r="F1647" s="67"/>
      <c r="G1647" s="67"/>
      <c r="H1647" s="67"/>
      <c r="I1647" s="67"/>
      <c r="J1647" s="67"/>
      <c r="K1647" s="67"/>
      <c r="L1647" s="67"/>
      <c r="M1647" s="67"/>
      <c r="N1647" s="67"/>
      <c r="O1647" s="67"/>
      <c r="P1647" s="67"/>
      <c r="Q1647" s="67"/>
      <c r="R1647" s="67"/>
      <c r="S1647" s="67"/>
      <c r="T1647" s="67"/>
      <c r="U1647" s="67"/>
      <c r="V1647" s="67"/>
      <c r="W1647" s="67"/>
      <c r="X1647" s="67"/>
      <c r="Y1647" s="67"/>
      <c r="Z1647" s="67"/>
      <c r="AA1647" s="67"/>
      <c r="AB1647" s="67"/>
      <c r="AC1647" s="67"/>
      <c r="AD1647" s="67"/>
      <c r="AE1647" s="67"/>
      <c r="AF1647" s="67"/>
      <c r="AG1647" s="67"/>
    </row>
    <row r="1648" spans="1:33">
      <c r="A1648" s="9"/>
      <c r="B1648" s="67"/>
      <c r="C1648" s="67"/>
      <c r="D1648" s="67"/>
      <c r="E1648" s="67"/>
      <c r="F1648" s="67"/>
      <c r="G1648" s="67"/>
      <c r="H1648" s="67"/>
      <c r="I1648" s="67"/>
      <c r="J1648" s="67"/>
      <c r="K1648" s="67"/>
      <c r="L1648" s="67"/>
      <c r="M1648" s="67"/>
      <c r="N1648" s="67"/>
      <c r="O1648" s="67"/>
      <c r="P1648" s="67"/>
      <c r="Q1648" s="67"/>
      <c r="R1648" s="67"/>
      <c r="S1648" s="67"/>
      <c r="T1648" s="67"/>
      <c r="U1648" s="67"/>
      <c r="V1648" s="67"/>
      <c r="W1648" s="67"/>
      <c r="X1648" s="67"/>
      <c r="Y1648" s="67"/>
      <c r="Z1648" s="67"/>
      <c r="AA1648" s="67"/>
      <c r="AB1648" s="67"/>
      <c r="AC1648" s="67"/>
      <c r="AD1648" s="67"/>
      <c r="AE1648" s="67"/>
      <c r="AF1648" s="67"/>
      <c r="AG1648" s="67"/>
    </row>
    <row r="1649" spans="1:33">
      <c r="A1649" s="9"/>
      <c r="B1649" s="67"/>
      <c r="C1649" s="67"/>
      <c r="D1649" s="67"/>
      <c r="E1649" s="67"/>
      <c r="F1649" s="67"/>
      <c r="G1649" s="67"/>
      <c r="H1649" s="67"/>
      <c r="I1649" s="67"/>
      <c r="J1649" s="67"/>
      <c r="K1649" s="67"/>
      <c r="L1649" s="67"/>
      <c r="M1649" s="67"/>
      <c r="N1649" s="67"/>
      <c r="O1649" s="67"/>
      <c r="P1649" s="67"/>
      <c r="Q1649" s="67"/>
      <c r="R1649" s="67"/>
      <c r="S1649" s="67"/>
      <c r="T1649" s="67"/>
      <c r="U1649" s="67"/>
      <c r="V1649" s="67"/>
      <c r="W1649" s="67"/>
      <c r="X1649" s="67"/>
      <c r="Y1649" s="67"/>
      <c r="Z1649" s="67"/>
      <c r="AA1649" s="67"/>
      <c r="AB1649" s="67"/>
      <c r="AC1649" s="67"/>
      <c r="AD1649" s="67"/>
      <c r="AE1649" s="67"/>
      <c r="AF1649" s="67"/>
      <c r="AG1649" s="67"/>
    </row>
    <row r="1650" spans="1:33">
      <c r="A1650" s="9"/>
      <c r="B1650" s="67"/>
      <c r="C1650" s="67"/>
      <c r="D1650" s="67"/>
      <c r="E1650" s="67"/>
      <c r="F1650" s="67"/>
      <c r="G1650" s="67"/>
      <c r="H1650" s="67"/>
      <c r="I1650" s="67"/>
      <c r="J1650" s="67"/>
      <c r="K1650" s="67"/>
      <c r="L1650" s="67"/>
      <c r="M1650" s="67"/>
      <c r="N1650" s="67"/>
      <c r="O1650" s="67"/>
      <c r="P1650" s="67"/>
      <c r="Q1650" s="67"/>
      <c r="R1650" s="67"/>
      <c r="S1650" s="67"/>
      <c r="T1650" s="67"/>
      <c r="U1650" s="67"/>
      <c r="V1650" s="67"/>
      <c r="W1650" s="67"/>
      <c r="X1650" s="67"/>
      <c r="Y1650" s="67"/>
      <c r="Z1650" s="67"/>
      <c r="AA1650" s="67"/>
      <c r="AB1650" s="67"/>
      <c r="AC1650" s="67"/>
      <c r="AD1650" s="67"/>
      <c r="AE1650" s="67"/>
      <c r="AF1650" s="67"/>
      <c r="AG1650" s="67"/>
    </row>
  </sheetData>
  <mergeCells count="55">
    <mergeCell ref="B5:D5"/>
    <mergeCell ref="B12:C12"/>
    <mergeCell ref="B17:D17"/>
    <mergeCell ref="B19:B36"/>
    <mergeCell ref="B39:D39"/>
    <mergeCell ref="J63:M63"/>
    <mergeCell ref="N63:Q63"/>
    <mergeCell ref="F63:I63"/>
    <mergeCell ref="B78:H78"/>
    <mergeCell ref="B144:H144"/>
    <mergeCell ref="B157:G157"/>
    <mergeCell ref="B472:C472"/>
    <mergeCell ref="D472:I472"/>
    <mergeCell ref="J485:J486"/>
    <mergeCell ref="B749:F749"/>
    <mergeCell ref="G749:H749"/>
    <mergeCell ref="G750:H750"/>
    <mergeCell ref="G751:H758"/>
    <mergeCell ref="B760:F760"/>
    <mergeCell ref="G760:H760"/>
    <mergeCell ref="G761:H761"/>
    <mergeCell ref="G762:H774"/>
    <mergeCell ref="B776:H776"/>
    <mergeCell ref="G777:H777"/>
    <mergeCell ref="G778:H778"/>
    <mergeCell ref="B780:H780"/>
    <mergeCell ref="I782:M782"/>
    <mergeCell ref="B785:G785"/>
    <mergeCell ref="B790:F790"/>
    <mergeCell ref="G790:H790"/>
    <mergeCell ref="G791:H791"/>
    <mergeCell ref="G792:H803"/>
    <mergeCell ref="B805:F805"/>
    <mergeCell ref="B813:E813"/>
    <mergeCell ref="B836:D836"/>
    <mergeCell ref="B845:C845"/>
    <mergeCell ref="B847:D847"/>
    <mergeCell ref="B857:C857"/>
    <mergeCell ref="B1139:G1139"/>
    <mergeCell ref="D1155:H1155"/>
    <mergeCell ref="I1155:M1155"/>
    <mergeCell ref="N1155:R1155"/>
    <mergeCell ref="B1293:C1293"/>
    <mergeCell ref="D1293:I1293"/>
    <mergeCell ref="J1293:N1293"/>
    <mergeCell ref="O1293:S1293"/>
    <mergeCell ref="B1391:H1391"/>
    <mergeCell ref="B1410:H1410"/>
    <mergeCell ref="D1174:H1174"/>
    <mergeCell ref="I1174:M1174"/>
    <mergeCell ref="N1174:R1174"/>
    <mergeCell ref="B1184:C1184"/>
    <mergeCell ref="D1184:H1184"/>
    <mergeCell ref="I1184:M1184"/>
    <mergeCell ref="N1184:R1184"/>
  </mergeCells>
  <conditionalFormatting sqref="D1385:D1386">
    <cfRule type="expression" dxfId="43" priority="3">
      <formula>$CF1385=TRUE</formula>
    </cfRule>
    <cfRule type="expression" dxfId="42" priority="4">
      <formula>$CQ1385=TRUE</formula>
    </cfRule>
  </conditionalFormatting>
  <conditionalFormatting sqref="E1385:E1386">
    <cfRule type="expression" dxfId="41" priority="7">
      <formula>$CO1385=TRUE</formula>
    </cfRule>
    <cfRule type="expression" dxfId="40" priority="8">
      <formula>$CN1385=TRUE</formula>
    </cfRule>
  </conditionalFormatting>
  <conditionalFormatting sqref="G1385:G1386">
    <cfRule type="expression" dxfId="39" priority="6">
      <formula>$CJ1385=TRUE</formula>
    </cfRule>
  </conditionalFormatting>
  <conditionalFormatting sqref="H1385:H1386">
    <cfRule type="expression" dxfId="38" priority="5">
      <formula>$CG1385=TRUE</formula>
    </cfRule>
  </conditionalFormatting>
  <conditionalFormatting sqref="V1374:V1377">
    <cfRule type="expression" dxfId="37" priority="1">
      <formula>$DO1374=TRUE</formula>
    </cfRule>
    <cfRule type="expression" dxfId="36" priority="2">
      <formula>$DZ1374=TRUE</formula>
    </cfRule>
  </conditionalFormatting>
  <dataValidations count="4">
    <dataValidation type="decimal" operator="greaterThan" allowBlank="1" showErrorMessage="1" sqref="G883:L901 G902:K902 I1385:K1386">
      <formula1>-1</formula1>
    </dataValidation>
    <dataValidation type="list" allowBlank="1" showErrorMessage="1" sqref="V1374:V1377 D1385:D1386">
      <formula1>CostInput</formula1>
    </dataValidation>
    <dataValidation type="list" allowBlank="1" showErrorMessage="1" sqref="F1385:F1386">
      <formula1>Geographylocation</formula1>
    </dataValidation>
    <dataValidation type="list" allowBlank="1" showErrorMessage="1" sqref="H1385:H1386">
      <formula1>"Approved Funding,UQD,Potential Savings/Efficiencies,Savings"</formula1>
    </dataValidation>
  </dataValidations>
  <hyperlinks>
    <hyperlink ref="G751" r:id="rId1"/>
  </hyperlinks>
  <pageMargins left="0.7" right="0.7" top="0.75" bottom="0.75" header="0" footer="0"/>
  <pageSetup paperSize="9" orientation="portrait"/>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L1000"/>
  <sheetViews>
    <sheetView workbookViewId="0"/>
  </sheetViews>
  <sheetFormatPr defaultColWidth="14.44140625" defaultRowHeight="15" customHeight="1"/>
  <cols>
    <col min="1" max="1" width="7.88671875" customWidth="1"/>
    <col min="2" max="2" width="2.6640625" customWidth="1"/>
    <col min="3" max="6" width="7.88671875" customWidth="1"/>
    <col min="7" max="7" width="6.5546875" customWidth="1"/>
    <col min="8" max="8" width="21.44140625" customWidth="1"/>
    <col min="9" max="9" width="30.109375" customWidth="1"/>
    <col min="10" max="10" width="12.6640625" customWidth="1"/>
    <col min="11" max="17" width="7.88671875" customWidth="1"/>
    <col min="18" max="18" width="12.44140625" customWidth="1"/>
    <col min="19" max="19" width="18" customWidth="1"/>
    <col min="20" max="20" width="5" customWidth="1"/>
    <col min="21" max="21" width="12.44140625" customWidth="1"/>
    <col min="22" max="22" width="5" customWidth="1"/>
    <col min="23" max="23" width="12.44140625" customWidth="1"/>
    <col min="24" max="24" width="4.6640625" customWidth="1"/>
    <col min="25" max="25" width="12.44140625" customWidth="1"/>
    <col min="26" max="26" width="5" customWidth="1"/>
    <col min="27" max="27" width="12.44140625" customWidth="1"/>
    <col min="28" max="28" width="6.6640625" customWidth="1"/>
    <col min="29" max="29" width="16.109375" customWidth="1"/>
    <col min="30" max="30" width="2.109375" customWidth="1"/>
    <col min="31" max="37" width="7.88671875" customWidth="1"/>
    <col min="38" max="38" width="108.5546875" customWidth="1"/>
  </cols>
  <sheetData>
    <row r="1" spans="1:38" ht="13.5" customHeight="1">
      <c r="A1" s="331" t="s">
        <v>1762</v>
      </c>
      <c r="B1" s="331" t="s">
        <v>1763</v>
      </c>
      <c r="C1" s="331" t="s">
        <v>1764</v>
      </c>
      <c r="D1" s="331" t="s">
        <v>1765</v>
      </c>
      <c r="E1" s="331" t="s">
        <v>1766</v>
      </c>
      <c r="F1" s="332" t="s">
        <v>1767</v>
      </c>
      <c r="G1" s="333" t="s">
        <v>387</v>
      </c>
      <c r="H1" s="334" t="s">
        <v>388</v>
      </c>
      <c r="I1" s="334" t="s">
        <v>1442</v>
      </c>
      <c r="J1" s="334" t="s">
        <v>934</v>
      </c>
      <c r="K1" s="335" t="s">
        <v>1768</v>
      </c>
      <c r="L1" s="336" t="s">
        <v>1769</v>
      </c>
      <c r="M1" s="336" t="s">
        <v>1770</v>
      </c>
      <c r="N1" s="336" t="s">
        <v>1771</v>
      </c>
      <c r="O1" s="337" t="s">
        <v>935</v>
      </c>
      <c r="P1" s="334" t="s">
        <v>1444</v>
      </c>
      <c r="Q1" s="334" t="s">
        <v>1772</v>
      </c>
      <c r="R1" s="338" t="s">
        <v>1773</v>
      </c>
      <c r="S1" s="338" t="s">
        <v>1774</v>
      </c>
      <c r="T1" s="338" t="s">
        <v>1775</v>
      </c>
      <c r="U1" s="339" t="s">
        <v>1776</v>
      </c>
      <c r="V1" s="338" t="s">
        <v>1777</v>
      </c>
      <c r="W1" s="339" t="s">
        <v>1778</v>
      </c>
      <c r="X1" s="338" t="s">
        <v>1779</v>
      </c>
      <c r="Y1" s="339" t="s">
        <v>1780</v>
      </c>
      <c r="Z1" s="338" t="s">
        <v>1781</v>
      </c>
      <c r="AA1" s="339" t="s">
        <v>1782</v>
      </c>
      <c r="AB1" s="338" t="s">
        <v>1783</v>
      </c>
      <c r="AC1" s="338" t="s">
        <v>1784</v>
      </c>
      <c r="AD1" s="340" t="s">
        <v>1785</v>
      </c>
      <c r="AE1" s="334" t="s">
        <v>1786</v>
      </c>
      <c r="AF1" s="334" t="s">
        <v>1787</v>
      </c>
      <c r="AG1" s="341" t="s">
        <v>1788</v>
      </c>
      <c r="AH1" s="333" t="s">
        <v>1789</v>
      </c>
      <c r="AI1" s="333" t="s">
        <v>1790</v>
      </c>
      <c r="AJ1" s="333" t="s">
        <v>1791</v>
      </c>
      <c r="AK1" s="333" t="s">
        <v>1792</v>
      </c>
      <c r="AL1" s="111"/>
    </row>
    <row r="2" spans="1:38" ht="13.5" hidden="1" customHeight="1">
      <c r="A2" s="342" t="s">
        <v>1793</v>
      </c>
      <c r="B2" s="342" t="s">
        <v>1794</v>
      </c>
      <c r="C2" s="342" t="s">
        <v>1795</v>
      </c>
      <c r="D2" s="342" t="s">
        <v>1796</v>
      </c>
      <c r="E2" s="342" t="s">
        <v>1797</v>
      </c>
      <c r="F2" s="343">
        <v>1</v>
      </c>
      <c r="G2" s="344" t="s">
        <v>508</v>
      </c>
      <c r="H2" s="345" t="s">
        <v>509</v>
      </c>
      <c r="I2" s="346" t="s">
        <v>1797</v>
      </c>
      <c r="J2" s="347" t="s">
        <v>875</v>
      </c>
      <c r="K2" s="348" t="s">
        <v>1798</v>
      </c>
      <c r="L2" s="349" t="s">
        <v>1799</v>
      </c>
      <c r="M2" s="349" t="s">
        <v>1800</v>
      </c>
      <c r="N2" s="348" t="s">
        <v>1801</v>
      </c>
      <c r="O2" s="350" t="s">
        <v>1133</v>
      </c>
      <c r="P2" s="351" t="s">
        <v>873</v>
      </c>
      <c r="Q2" s="352" t="s">
        <v>1802</v>
      </c>
      <c r="R2" s="353">
        <v>177964.79999999999</v>
      </c>
      <c r="S2" s="354">
        <v>6969.5891534875882</v>
      </c>
      <c r="T2" s="355">
        <v>0.25</v>
      </c>
      <c r="U2" s="356">
        <v>1742.397288371897</v>
      </c>
      <c r="V2" s="355">
        <v>0.25</v>
      </c>
      <c r="W2" s="356">
        <v>1742.397288371897</v>
      </c>
      <c r="X2" s="355">
        <v>0.25</v>
      </c>
      <c r="Y2" s="356">
        <v>1742.397288371897</v>
      </c>
      <c r="Z2" s="355">
        <v>0.25</v>
      </c>
      <c r="AA2" s="354">
        <v>1742.397288371897</v>
      </c>
      <c r="AB2" s="354">
        <v>1</v>
      </c>
      <c r="AC2" s="354">
        <v>6969.5891534875882</v>
      </c>
      <c r="AD2" s="357"/>
      <c r="AE2" s="358" t="s">
        <v>1803</v>
      </c>
      <c r="AF2" s="346" t="s">
        <v>1804</v>
      </c>
      <c r="AG2" s="347"/>
      <c r="AH2" s="359" t="s">
        <v>1805</v>
      </c>
      <c r="AI2" s="347" t="s">
        <v>1806</v>
      </c>
      <c r="AJ2" s="347" t="s">
        <v>535</v>
      </c>
      <c r="AK2" s="360" t="s">
        <v>1807</v>
      </c>
      <c r="AL2" s="360"/>
    </row>
    <row r="3" spans="1:38" ht="13.5" hidden="1" customHeight="1">
      <c r="A3" s="342" t="s">
        <v>1808</v>
      </c>
      <c r="B3" s="342" t="s">
        <v>1794</v>
      </c>
      <c r="C3" s="342" t="s">
        <v>1795</v>
      </c>
      <c r="D3" s="342" t="s">
        <v>1809</v>
      </c>
      <c r="E3" s="342" t="s">
        <v>1810</v>
      </c>
      <c r="F3" s="361">
        <v>2</v>
      </c>
      <c r="G3" s="344" t="s">
        <v>508</v>
      </c>
      <c r="H3" s="345" t="s">
        <v>509</v>
      </c>
      <c r="I3" s="346" t="s">
        <v>1810</v>
      </c>
      <c r="J3" s="347" t="s">
        <v>977</v>
      </c>
      <c r="K3" s="348" t="s">
        <v>1798</v>
      </c>
      <c r="L3" s="349" t="s">
        <v>1799</v>
      </c>
      <c r="M3" s="349" t="s">
        <v>1800</v>
      </c>
      <c r="N3" s="348" t="s">
        <v>1801</v>
      </c>
      <c r="O3" s="350" t="s">
        <v>961</v>
      </c>
      <c r="P3" s="351" t="s">
        <v>873</v>
      </c>
      <c r="Q3" s="352" t="s">
        <v>1802</v>
      </c>
      <c r="R3" s="353">
        <v>121680</v>
      </c>
      <c r="S3" s="354">
        <v>4765.3221771741928</v>
      </c>
      <c r="T3" s="355">
        <v>0.25</v>
      </c>
      <c r="U3" s="356">
        <v>1191.3305442935482</v>
      </c>
      <c r="V3" s="355">
        <v>0.25</v>
      </c>
      <c r="W3" s="356">
        <v>1191.3305442935482</v>
      </c>
      <c r="X3" s="355">
        <v>0.25</v>
      </c>
      <c r="Y3" s="356">
        <v>1191.3305442935482</v>
      </c>
      <c r="Z3" s="355">
        <v>0.25</v>
      </c>
      <c r="AA3" s="354">
        <v>1191.3305442935482</v>
      </c>
      <c r="AB3" s="354">
        <v>1</v>
      </c>
      <c r="AC3" s="354">
        <v>4765.3221771741928</v>
      </c>
      <c r="AD3" s="357"/>
      <c r="AE3" s="358" t="s">
        <v>1803</v>
      </c>
      <c r="AF3" s="346" t="s">
        <v>1804</v>
      </c>
      <c r="AG3" s="347"/>
      <c r="AH3" s="359" t="s">
        <v>1805</v>
      </c>
      <c r="AI3" s="347" t="s">
        <v>1806</v>
      </c>
      <c r="AJ3" s="347" t="s">
        <v>535</v>
      </c>
      <c r="AK3" s="360" t="s">
        <v>1807</v>
      </c>
      <c r="AL3" s="360"/>
    </row>
    <row r="4" spans="1:38" ht="13.5" hidden="1" customHeight="1">
      <c r="A4" s="342" t="s">
        <v>1811</v>
      </c>
      <c r="B4" s="342" t="s">
        <v>1794</v>
      </c>
      <c r="C4" s="342" t="s">
        <v>1795</v>
      </c>
      <c r="D4" s="342" t="s">
        <v>1812</v>
      </c>
      <c r="E4" s="342" t="s">
        <v>1813</v>
      </c>
      <c r="F4" s="361">
        <v>3</v>
      </c>
      <c r="G4" s="344" t="s">
        <v>508</v>
      </c>
      <c r="H4" s="345" t="s">
        <v>509</v>
      </c>
      <c r="I4" s="346" t="s">
        <v>1813</v>
      </c>
      <c r="J4" s="347" t="s">
        <v>881</v>
      </c>
      <c r="K4" s="348" t="s">
        <v>1798</v>
      </c>
      <c r="L4" s="349" t="s">
        <v>1799</v>
      </c>
      <c r="M4" s="349" t="s">
        <v>1800</v>
      </c>
      <c r="N4" s="348" t="s">
        <v>1801</v>
      </c>
      <c r="O4" s="350" t="s">
        <v>964</v>
      </c>
      <c r="P4" s="351" t="s">
        <v>873</v>
      </c>
      <c r="Q4" s="352" t="s">
        <v>1802</v>
      </c>
      <c r="R4" s="353">
        <v>266947.20000000001</v>
      </c>
      <c r="S4" s="354">
        <v>10454.383730231384</v>
      </c>
      <c r="T4" s="355">
        <v>0.25</v>
      </c>
      <c r="U4" s="356">
        <v>2613.595932557846</v>
      </c>
      <c r="V4" s="355">
        <v>0.25</v>
      </c>
      <c r="W4" s="356">
        <v>2613.595932557846</v>
      </c>
      <c r="X4" s="355">
        <v>0.25</v>
      </c>
      <c r="Y4" s="356">
        <v>2613.595932557846</v>
      </c>
      <c r="Z4" s="355">
        <v>0.25</v>
      </c>
      <c r="AA4" s="354">
        <v>2613.595932557846</v>
      </c>
      <c r="AB4" s="354">
        <v>1</v>
      </c>
      <c r="AC4" s="354">
        <v>10454.383730231384</v>
      </c>
      <c r="AD4" s="357"/>
      <c r="AE4" s="358" t="s">
        <v>1803</v>
      </c>
      <c r="AF4" s="346" t="s">
        <v>1804</v>
      </c>
      <c r="AG4" s="347"/>
      <c r="AH4" s="359" t="s">
        <v>1805</v>
      </c>
      <c r="AI4" s="347" t="s">
        <v>1806</v>
      </c>
      <c r="AJ4" s="347" t="s">
        <v>535</v>
      </c>
      <c r="AK4" s="360" t="s">
        <v>1807</v>
      </c>
      <c r="AL4" s="360"/>
    </row>
    <row r="5" spans="1:38" ht="13.5" hidden="1" customHeight="1">
      <c r="A5" s="342" t="s">
        <v>1814</v>
      </c>
      <c r="B5" s="342" t="s">
        <v>1794</v>
      </c>
      <c r="C5" s="342" t="s">
        <v>1795</v>
      </c>
      <c r="D5" s="342" t="s">
        <v>1815</v>
      </c>
      <c r="E5" s="342" t="s">
        <v>1816</v>
      </c>
      <c r="F5" s="343">
        <v>4</v>
      </c>
      <c r="G5" s="344" t="s">
        <v>508</v>
      </c>
      <c r="H5" s="345" t="s">
        <v>509</v>
      </c>
      <c r="I5" s="346" t="s">
        <v>1816</v>
      </c>
      <c r="J5" s="347" t="s">
        <v>989</v>
      </c>
      <c r="K5" s="348" t="s">
        <v>1798</v>
      </c>
      <c r="L5" s="349" t="s">
        <v>1799</v>
      </c>
      <c r="M5" s="349" t="s">
        <v>1800</v>
      </c>
      <c r="N5" s="348" t="s">
        <v>1801</v>
      </c>
      <c r="O5" s="350" t="s">
        <v>1817</v>
      </c>
      <c r="P5" s="351" t="s">
        <v>873</v>
      </c>
      <c r="Q5" s="352" t="s">
        <v>1802</v>
      </c>
      <c r="R5" s="353">
        <v>152256</v>
      </c>
      <c r="S5" s="354">
        <v>5962.7621088743745</v>
      </c>
      <c r="T5" s="355">
        <v>0.25</v>
      </c>
      <c r="U5" s="356">
        <v>1490.6905272185936</v>
      </c>
      <c r="V5" s="355">
        <v>0.25</v>
      </c>
      <c r="W5" s="356">
        <v>1490.6905272185936</v>
      </c>
      <c r="X5" s="355">
        <v>0.25</v>
      </c>
      <c r="Y5" s="356">
        <v>1490.6905272185936</v>
      </c>
      <c r="Z5" s="355">
        <v>0.25</v>
      </c>
      <c r="AA5" s="354">
        <v>1490.6905272185936</v>
      </c>
      <c r="AB5" s="354">
        <v>1</v>
      </c>
      <c r="AC5" s="354">
        <v>5962.7621088743745</v>
      </c>
      <c r="AD5" s="357"/>
      <c r="AE5" s="358" t="s">
        <v>1803</v>
      </c>
      <c r="AF5" s="346" t="s">
        <v>1804</v>
      </c>
      <c r="AG5" s="347"/>
      <c r="AH5" s="359" t="s">
        <v>1805</v>
      </c>
      <c r="AI5" s="347" t="s">
        <v>1806</v>
      </c>
      <c r="AJ5" s="347" t="s">
        <v>535</v>
      </c>
      <c r="AK5" s="360" t="s">
        <v>1807</v>
      </c>
      <c r="AL5" s="360"/>
    </row>
    <row r="6" spans="1:38" ht="13.5" hidden="1" customHeight="1">
      <c r="A6" s="362" t="s">
        <v>1818</v>
      </c>
      <c r="B6" s="362" t="s">
        <v>1794</v>
      </c>
      <c r="C6" s="362" t="s">
        <v>1795</v>
      </c>
      <c r="D6" s="362" t="s">
        <v>1819</v>
      </c>
      <c r="E6" s="362" t="s">
        <v>634</v>
      </c>
      <c r="F6" s="363">
        <v>5</v>
      </c>
      <c r="G6" s="364" t="s">
        <v>508</v>
      </c>
      <c r="H6" s="365" t="s">
        <v>509</v>
      </c>
      <c r="I6" s="366" t="s">
        <v>634</v>
      </c>
      <c r="J6" s="367" t="s">
        <v>877</v>
      </c>
      <c r="K6" s="368" t="s">
        <v>1798</v>
      </c>
      <c r="L6" s="369" t="s">
        <v>1799</v>
      </c>
      <c r="M6" s="369" t="s">
        <v>1800</v>
      </c>
      <c r="N6" s="368" t="s">
        <v>1801</v>
      </c>
      <c r="O6" s="370" t="s">
        <v>789</v>
      </c>
      <c r="P6" s="371" t="s">
        <v>873</v>
      </c>
      <c r="Q6" s="372" t="s">
        <v>1802</v>
      </c>
      <c r="R6" s="373">
        <v>1505712</v>
      </c>
      <c r="S6" s="374">
        <v>58967.807248827317</v>
      </c>
      <c r="T6" s="375">
        <v>0.25</v>
      </c>
      <c r="U6" s="376">
        <v>14741.951812206829</v>
      </c>
      <c r="V6" s="375">
        <v>0.25</v>
      </c>
      <c r="W6" s="376">
        <v>14741.951812206829</v>
      </c>
      <c r="X6" s="375">
        <v>0.25</v>
      </c>
      <c r="Y6" s="376">
        <v>14741.951812206829</v>
      </c>
      <c r="Z6" s="375">
        <v>0.25</v>
      </c>
      <c r="AA6" s="374">
        <v>14741.951812206829</v>
      </c>
      <c r="AB6" s="374">
        <v>1</v>
      </c>
      <c r="AC6" s="374">
        <v>58967.807248827317</v>
      </c>
      <c r="AD6" s="377"/>
      <c r="AE6" s="378" t="s">
        <v>1803</v>
      </c>
      <c r="AF6" s="366" t="s">
        <v>1804</v>
      </c>
      <c r="AG6" s="367"/>
      <c r="AH6" s="379" t="s">
        <v>1805</v>
      </c>
      <c r="AI6" s="367" t="s">
        <v>1806</v>
      </c>
      <c r="AJ6" s="367" t="s">
        <v>535</v>
      </c>
      <c r="AK6" s="360" t="s">
        <v>1807</v>
      </c>
      <c r="AL6" s="360"/>
    </row>
    <row r="7" spans="1:38" ht="13.5" hidden="1" customHeight="1">
      <c r="A7" s="380" t="s">
        <v>1820</v>
      </c>
      <c r="B7" s="380" t="s">
        <v>1794</v>
      </c>
      <c r="C7" s="380" t="s">
        <v>1795</v>
      </c>
      <c r="D7" s="380" t="s">
        <v>1796</v>
      </c>
      <c r="E7" s="380" t="s">
        <v>1821</v>
      </c>
      <c r="F7" s="381">
        <v>6</v>
      </c>
      <c r="G7" s="382" t="s">
        <v>508</v>
      </c>
      <c r="H7" s="743" t="s">
        <v>509</v>
      </c>
      <c r="I7" s="383" t="s">
        <v>1821</v>
      </c>
      <c r="J7" s="744" t="s">
        <v>875</v>
      </c>
      <c r="K7" s="384" t="s">
        <v>1798</v>
      </c>
      <c r="L7" s="385" t="s">
        <v>1799</v>
      </c>
      <c r="M7" s="385" t="s">
        <v>1800</v>
      </c>
      <c r="N7" s="384" t="s">
        <v>1801</v>
      </c>
      <c r="O7" s="386" t="s">
        <v>1133</v>
      </c>
      <c r="P7" s="387" t="s">
        <v>873</v>
      </c>
      <c r="Q7" s="388" t="s">
        <v>1802</v>
      </c>
      <c r="R7" s="389">
        <v>372386</v>
      </c>
      <c r="S7" s="390">
        <v>14583.656017991363</v>
      </c>
      <c r="T7" s="391">
        <v>0.25</v>
      </c>
      <c r="U7" s="392">
        <v>3645.9140044978408</v>
      </c>
      <c r="V7" s="391">
        <v>0.25</v>
      </c>
      <c r="W7" s="392">
        <v>3645.9140044978408</v>
      </c>
      <c r="X7" s="391">
        <v>0.25</v>
      </c>
      <c r="Y7" s="392">
        <v>3645.9140044978408</v>
      </c>
      <c r="Z7" s="391">
        <v>0.25</v>
      </c>
      <c r="AA7" s="390">
        <v>3645.9140044978408</v>
      </c>
      <c r="AB7" s="390">
        <v>1</v>
      </c>
      <c r="AC7" s="390">
        <v>14583.656017991363</v>
      </c>
      <c r="AD7" s="393"/>
      <c r="AE7" s="394" t="s">
        <v>1803</v>
      </c>
      <c r="AF7" s="383" t="s">
        <v>1822</v>
      </c>
      <c r="AG7" s="744"/>
      <c r="AH7" s="745" t="s">
        <v>1805</v>
      </c>
      <c r="AI7" s="744" t="s">
        <v>1806</v>
      </c>
      <c r="AJ7" s="744" t="s">
        <v>535</v>
      </c>
      <c r="AK7" s="360" t="s">
        <v>1823</v>
      </c>
      <c r="AL7" s="360"/>
    </row>
    <row r="8" spans="1:38" ht="13.5" hidden="1" customHeight="1">
      <c r="A8" s="342" t="s">
        <v>1824</v>
      </c>
      <c r="B8" s="342" t="s">
        <v>1794</v>
      </c>
      <c r="C8" s="342" t="s">
        <v>1795</v>
      </c>
      <c r="D8" s="342" t="s">
        <v>1809</v>
      </c>
      <c r="E8" s="342" t="s">
        <v>1825</v>
      </c>
      <c r="F8" s="343">
        <v>7</v>
      </c>
      <c r="G8" s="344" t="s">
        <v>508</v>
      </c>
      <c r="H8" s="345" t="s">
        <v>509</v>
      </c>
      <c r="I8" s="346" t="s">
        <v>1825</v>
      </c>
      <c r="J8" s="347" t="s">
        <v>977</v>
      </c>
      <c r="K8" s="348" t="s">
        <v>1798</v>
      </c>
      <c r="L8" s="349" t="s">
        <v>1799</v>
      </c>
      <c r="M8" s="349" t="s">
        <v>1800</v>
      </c>
      <c r="N8" s="348" t="s">
        <v>1801</v>
      </c>
      <c r="O8" s="350" t="s">
        <v>961</v>
      </c>
      <c r="P8" s="351" t="s">
        <v>873</v>
      </c>
      <c r="Q8" s="352" t="s">
        <v>1802</v>
      </c>
      <c r="R8" s="353">
        <v>3723860</v>
      </c>
      <c r="S8" s="354">
        <v>145836.56017991362</v>
      </c>
      <c r="T8" s="355">
        <v>0.25</v>
      </c>
      <c r="U8" s="356">
        <v>36459.140044978405</v>
      </c>
      <c r="V8" s="355">
        <v>0.25</v>
      </c>
      <c r="W8" s="356">
        <v>36459.140044978405</v>
      </c>
      <c r="X8" s="355">
        <v>0.25</v>
      </c>
      <c r="Y8" s="356">
        <v>36459.140044978405</v>
      </c>
      <c r="Z8" s="355">
        <v>0.25</v>
      </c>
      <c r="AA8" s="354">
        <v>36459.140044978405</v>
      </c>
      <c r="AB8" s="354">
        <v>1</v>
      </c>
      <c r="AC8" s="354">
        <v>145836.56017991362</v>
      </c>
      <c r="AD8" s="357"/>
      <c r="AE8" s="358" t="s">
        <v>1803</v>
      </c>
      <c r="AF8" s="346" t="s">
        <v>1822</v>
      </c>
      <c r="AG8" s="347"/>
      <c r="AH8" s="359" t="s">
        <v>1805</v>
      </c>
      <c r="AI8" s="347" t="s">
        <v>1806</v>
      </c>
      <c r="AJ8" s="347" t="s">
        <v>535</v>
      </c>
      <c r="AK8" s="360" t="s">
        <v>1823</v>
      </c>
      <c r="AL8" s="360"/>
    </row>
    <row r="9" spans="1:38" ht="13.5" hidden="1" customHeight="1">
      <c r="A9" s="362" t="s">
        <v>1826</v>
      </c>
      <c r="B9" s="362" t="s">
        <v>1794</v>
      </c>
      <c r="C9" s="362" t="s">
        <v>1795</v>
      </c>
      <c r="D9" s="362" t="s">
        <v>1812</v>
      </c>
      <c r="E9" s="362" t="s">
        <v>1827</v>
      </c>
      <c r="F9" s="363">
        <v>8</v>
      </c>
      <c r="G9" s="364" t="s">
        <v>508</v>
      </c>
      <c r="H9" s="365" t="s">
        <v>509</v>
      </c>
      <c r="I9" s="366" t="s">
        <v>1827</v>
      </c>
      <c r="J9" s="367" t="s">
        <v>881</v>
      </c>
      <c r="K9" s="368" t="s">
        <v>1798</v>
      </c>
      <c r="L9" s="395" t="s">
        <v>1799</v>
      </c>
      <c r="M9" s="369" t="s">
        <v>1800</v>
      </c>
      <c r="N9" s="368" t="s">
        <v>1801</v>
      </c>
      <c r="O9" s="370" t="s">
        <v>964</v>
      </c>
      <c r="P9" s="371" t="s">
        <v>873</v>
      </c>
      <c r="Q9" s="372" t="s">
        <v>1802</v>
      </c>
      <c r="R9" s="373">
        <v>558579</v>
      </c>
      <c r="S9" s="374">
        <v>21875.484026987044</v>
      </c>
      <c r="T9" s="375">
        <v>0.25</v>
      </c>
      <c r="U9" s="376">
        <v>5468.8710067467609</v>
      </c>
      <c r="V9" s="375">
        <v>0.25</v>
      </c>
      <c r="W9" s="376">
        <v>5468.8710067467609</v>
      </c>
      <c r="X9" s="375">
        <v>0.25</v>
      </c>
      <c r="Y9" s="376">
        <v>5468.8710067467609</v>
      </c>
      <c r="Z9" s="375">
        <v>0.25</v>
      </c>
      <c r="AA9" s="374">
        <v>5468.8710067467609</v>
      </c>
      <c r="AB9" s="374">
        <v>1</v>
      </c>
      <c r="AC9" s="374">
        <v>21875.484026987044</v>
      </c>
      <c r="AD9" s="377"/>
      <c r="AE9" s="378" t="s">
        <v>1803</v>
      </c>
      <c r="AF9" s="366" t="s">
        <v>1822</v>
      </c>
      <c r="AG9" s="367"/>
      <c r="AH9" s="379" t="s">
        <v>1805</v>
      </c>
      <c r="AI9" s="367" t="s">
        <v>1806</v>
      </c>
      <c r="AJ9" s="367" t="s">
        <v>535</v>
      </c>
      <c r="AK9" s="360" t="s">
        <v>1823</v>
      </c>
      <c r="AL9" s="360"/>
    </row>
    <row r="10" spans="1:38" ht="13.5" hidden="1" customHeight="1">
      <c r="A10" s="380" t="s">
        <v>1828</v>
      </c>
      <c r="B10" s="380" t="s">
        <v>1794</v>
      </c>
      <c r="C10" s="380" t="s">
        <v>1795</v>
      </c>
      <c r="D10" s="380" t="s">
        <v>1796</v>
      </c>
      <c r="E10" s="380" t="s">
        <v>1829</v>
      </c>
      <c r="F10" s="381">
        <v>9</v>
      </c>
      <c r="G10" s="382" t="s">
        <v>508</v>
      </c>
      <c r="H10" s="743" t="s">
        <v>509</v>
      </c>
      <c r="I10" s="383" t="s">
        <v>1829</v>
      </c>
      <c r="J10" s="744" t="s">
        <v>875</v>
      </c>
      <c r="K10" s="384" t="s">
        <v>1798</v>
      </c>
      <c r="L10" s="385" t="s">
        <v>1799</v>
      </c>
      <c r="M10" s="385" t="s">
        <v>1800</v>
      </c>
      <c r="N10" s="384" t="s">
        <v>1801</v>
      </c>
      <c r="O10" s="386" t="s">
        <v>1133</v>
      </c>
      <c r="P10" s="387" t="s">
        <v>873</v>
      </c>
      <c r="Q10" s="388" t="s">
        <v>1802</v>
      </c>
      <c r="R10" s="389">
        <v>312500</v>
      </c>
      <c r="S10" s="390">
        <v>12238.356183160218</v>
      </c>
      <c r="T10" s="391">
        <v>0.25</v>
      </c>
      <c r="U10" s="392">
        <v>3059.5890457900546</v>
      </c>
      <c r="V10" s="391">
        <v>0.25</v>
      </c>
      <c r="W10" s="392">
        <v>3059.5890457900546</v>
      </c>
      <c r="X10" s="391">
        <v>0.25</v>
      </c>
      <c r="Y10" s="392">
        <v>3059.5890457900546</v>
      </c>
      <c r="Z10" s="391">
        <v>0.25</v>
      </c>
      <c r="AA10" s="390">
        <v>3059.5890457900546</v>
      </c>
      <c r="AB10" s="390">
        <v>1</v>
      </c>
      <c r="AC10" s="390">
        <v>12238.356183160218</v>
      </c>
      <c r="AD10" s="393"/>
      <c r="AE10" s="394" t="s">
        <v>1803</v>
      </c>
      <c r="AF10" s="383" t="s">
        <v>1830</v>
      </c>
      <c r="AG10" s="744"/>
      <c r="AH10" s="745" t="s">
        <v>1805</v>
      </c>
      <c r="AI10" s="744" t="s">
        <v>1806</v>
      </c>
      <c r="AJ10" s="744" t="s">
        <v>535</v>
      </c>
      <c r="AK10" s="360" t="s">
        <v>1831</v>
      </c>
      <c r="AL10" s="360"/>
    </row>
    <row r="11" spans="1:38" ht="13.5" hidden="1" customHeight="1">
      <c r="A11" s="342" t="s">
        <v>1832</v>
      </c>
      <c r="B11" s="342" t="s">
        <v>1794</v>
      </c>
      <c r="C11" s="342" t="s">
        <v>1795</v>
      </c>
      <c r="D11" s="342" t="s">
        <v>1812</v>
      </c>
      <c r="E11" s="342" t="s">
        <v>1833</v>
      </c>
      <c r="F11" s="343">
        <v>10</v>
      </c>
      <c r="G11" s="344" t="s">
        <v>508</v>
      </c>
      <c r="H11" s="345" t="s">
        <v>509</v>
      </c>
      <c r="I11" s="346" t="s">
        <v>1833</v>
      </c>
      <c r="J11" s="347" t="s">
        <v>881</v>
      </c>
      <c r="K11" s="348" t="s">
        <v>1798</v>
      </c>
      <c r="L11" s="349" t="s">
        <v>1799</v>
      </c>
      <c r="M11" s="349" t="s">
        <v>1800</v>
      </c>
      <c r="N11" s="348" t="s">
        <v>1801</v>
      </c>
      <c r="O11" s="350" t="s">
        <v>964</v>
      </c>
      <c r="P11" s="351" t="s">
        <v>873</v>
      </c>
      <c r="Q11" s="352" t="s">
        <v>1802</v>
      </c>
      <c r="R11" s="353">
        <v>468750</v>
      </c>
      <c r="S11" s="354">
        <v>18357.534274740327</v>
      </c>
      <c r="T11" s="355">
        <v>0.25</v>
      </c>
      <c r="U11" s="356">
        <v>4589.3835686850816</v>
      </c>
      <c r="V11" s="355">
        <v>0.25</v>
      </c>
      <c r="W11" s="356">
        <v>4589.3835686850816</v>
      </c>
      <c r="X11" s="355">
        <v>0.25</v>
      </c>
      <c r="Y11" s="356">
        <v>4589.3835686850816</v>
      </c>
      <c r="Z11" s="355">
        <v>0.25</v>
      </c>
      <c r="AA11" s="354">
        <v>4589.3835686850816</v>
      </c>
      <c r="AB11" s="354">
        <v>1</v>
      </c>
      <c r="AC11" s="354">
        <v>18357.534274740327</v>
      </c>
      <c r="AD11" s="357"/>
      <c r="AE11" s="358" t="s">
        <v>1803</v>
      </c>
      <c r="AF11" s="346" t="s">
        <v>1830</v>
      </c>
      <c r="AG11" s="347"/>
      <c r="AH11" s="359" t="s">
        <v>1805</v>
      </c>
      <c r="AI11" s="347" t="s">
        <v>1806</v>
      </c>
      <c r="AJ11" s="347" t="s">
        <v>535</v>
      </c>
      <c r="AK11" s="360" t="s">
        <v>1831</v>
      </c>
      <c r="AL11" s="360"/>
    </row>
    <row r="12" spans="1:38" ht="13.5" hidden="1" customHeight="1">
      <c r="A12" s="362" t="s">
        <v>1834</v>
      </c>
      <c r="B12" s="362" t="s">
        <v>1794</v>
      </c>
      <c r="C12" s="362" t="s">
        <v>1795</v>
      </c>
      <c r="D12" s="362" t="s">
        <v>1815</v>
      </c>
      <c r="E12" s="362" t="s">
        <v>1835</v>
      </c>
      <c r="F12" s="363">
        <v>11</v>
      </c>
      <c r="G12" s="364" t="s">
        <v>508</v>
      </c>
      <c r="H12" s="365" t="s">
        <v>509</v>
      </c>
      <c r="I12" s="366" t="s">
        <v>1835</v>
      </c>
      <c r="J12" s="367" t="s">
        <v>989</v>
      </c>
      <c r="K12" s="368" t="s">
        <v>1798</v>
      </c>
      <c r="L12" s="369" t="s">
        <v>1799</v>
      </c>
      <c r="M12" s="369" t="s">
        <v>1800</v>
      </c>
      <c r="N12" s="368" t="s">
        <v>1801</v>
      </c>
      <c r="O12" s="370" t="s">
        <v>1817</v>
      </c>
      <c r="P12" s="371" t="s">
        <v>873</v>
      </c>
      <c r="Q12" s="372" t="s">
        <v>1802</v>
      </c>
      <c r="R12" s="373">
        <v>3125000</v>
      </c>
      <c r="S12" s="374">
        <v>122383.56183160217</v>
      </c>
      <c r="T12" s="375">
        <v>0.25</v>
      </c>
      <c r="U12" s="376">
        <v>30595.890457900543</v>
      </c>
      <c r="V12" s="375">
        <v>0.25</v>
      </c>
      <c r="W12" s="376">
        <v>30595.890457900543</v>
      </c>
      <c r="X12" s="375">
        <v>0.25</v>
      </c>
      <c r="Y12" s="376">
        <v>30595.890457900543</v>
      </c>
      <c r="Z12" s="375">
        <v>0.25</v>
      </c>
      <c r="AA12" s="374">
        <v>30595.890457900543</v>
      </c>
      <c r="AB12" s="374">
        <v>1</v>
      </c>
      <c r="AC12" s="374">
        <v>122383.56183160217</v>
      </c>
      <c r="AD12" s="377"/>
      <c r="AE12" s="378" t="s">
        <v>1803</v>
      </c>
      <c r="AF12" s="366" t="s">
        <v>1830</v>
      </c>
      <c r="AG12" s="367"/>
      <c r="AH12" s="379" t="s">
        <v>1805</v>
      </c>
      <c r="AI12" s="367" t="s">
        <v>1806</v>
      </c>
      <c r="AJ12" s="367" t="s">
        <v>535</v>
      </c>
      <c r="AK12" s="360" t="s">
        <v>1831</v>
      </c>
      <c r="AL12" s="360"/>
    </row>
    <row r="13" spans="1:38" ht="13.5" hidden="1" customHeight="1">
      <c r="A13" s="380" t="s">
        <v>1836</v>
      </c>
      <c r="B13" s="380" t="s">
        <v>1794</v>
      </c>
      <c r="C13" s="380" t="s">
        <v>1795</v>
      </c>
      <c r="D13" s="380" t="s">
        <v>1796</v>
      </c>
      <c r="E13" s="380" t="s">
        <v>1837</v>
      </c>
      <c r="F13" s="381">
        <v>15</v>
      </c>
      <c r="G13" s="382" t="s">
        <v>508</v>
      </c>
      <c r="H13" s="743" t="s">
        <v>509</v>
      </c>
      <c r="I13" s="383" t="s">
        <v>1837</v>
      </c>
      <c r="J13" s="744" t="s">
        <v>875</v>
      </c>
      <c r="K13" s="384" t="s">
        <v>1798</v>
      </c>
      <c r="L13" s="385" t="s">
        <v>1799</v>
      </c>
      <c r="M13" s="385" t="s">
        <v>1800</v>
      </c>
      <c r="N13" s="384" t="s">
        <v>1801</v>
      </c>
      <c r="O13" s="386" t="s">
        <v>1133</v>
      </c>
      <c r="P13" s="387" t="s">
        <v>873</v>
      </c>
      <c r="Q13" s="388" t="s">
        <v>1802</v>
      </c>
      <c r="R13" s="389">
        <v>273800</v>
      </c>
      <c r="S13" s="390">
        <v>10722.758153437657</v>
      </c>
      <c r="T13" s="391">
        <v>0.25</v>
      </c>
      <c r="U13" s="392">
        <v>2680.6895383594142</v>
      </c>
      <c r="V13" s="391">
        <v>0.25</v>
      </c>
      <c r="W13" s="392">
        <v>2680.6895383594142</v>
      </c>
      <c r="X13" s="391">
        <v>0.25</v>
      </c>
      <c r="Y13" s="392">
        <v>2680.6895383594142</v>
      </c>
      <c r="Z13" s="391">
        <v>0.25</v>
      </c>
      <c r="AA13" s="390">
        <v>2680.6895383594142</v>
      </c>
      <c r="AB13" s="390">
        <v>1</v>
      </c>
      <c r="AC13" s="390">
        <v>10722.758153437657</v>
      </c>
      <c r="AD13" s="393"/>
      <c r="AE13" s="394" t="s">
        <v>1803</v>
      </c>
      <c r="AF13" s="383" t="s">
        <v>1838</v>
      </c>
      <c r="AG13" s="744"/>
      <c r="AH13" s="745" t="s">
        <v>1805</v>
      </c>
      <c r="AI13" s="744" t="s">
        <v>1839</v>
      </c>
      <c r="AJ13" s="744" t="s">
        <v>535</v>
      </c>
      <c r="AK13" s="746" t="s">
        <v>1840</v>
      </c>
      <c r="AL13" s="182" t="s">
        <v>1841</v>
      </c>
    </row>
    <row r="14" spans="1:38" ht="13.5" hidden="1" customHeight="1">
      <c r="A14" s="342" t="s">
        <v>1842</v>
      </c>
      <c r="B14" s="342" t="s">
        <v>1794</v>
      </c>
      <c r="C14" s="342" t="s">
        <v>1795</v>
      </c>
      <c r="D14" s="342" t="s">
        <v>1809</v>
      </c>
      <c r="E14" s="342" t="s">
        <v>1843</v>
      </c>
      <c r="F14" s="343">
        <v>16</v>
      </c>
      <c r="G14" s="344" t="s">
        <v>508</v>
      </c>
      <c r="H14" s="345" t="s">
        <v>509</v>
      </c>
      <c r="I14" s="346" t="s">
        <v>1843</v>
      </c>
      <c r="J14" s="347" t="s">
        <v>977</v>
      </c>
      <c r="K14" s="348" t="s">
        <v>1798</v>
      </c>
      <c r="L14" s="349" t="s">
        <v>1799</v>
      </c>
      <c r="M14" s="349" t="s">
        <v>1800</v>
      </c>
      <c r="N14" s="348" t="s">
        <v>1801</v>
      </c>
      <c r="O14" s="350" t="s">
        <v>961</v>
      </c>
      <c r="P14" s="351" t="s">
        <v>873</v>
      </c>
      <c r="Q14" s="352" t="s">
        <v>1802</v>
      </c>
      <c r="R14" s="353">
        <v>547600</v>
      </c>
      <c r="S14" s="354">
        <v>21445.516306875314</v>
      </c>
      <c r="T14" s="355">
        <v>0.25</v>
      </c>
      <c r="U14" s="356">
        <v>5361.3790767188284</v>
      </c>
      <c r="V14" s="355">
        <v>0.25</v>
      </c>
      <c r="W14" s="356">
        <v>5361.3790767188284</v>
      </c>
      <c r="X14" s="355">
        <v>0.25</v>
      </c>
      <c r="Y14" s="356">
        <v>5361.3790767188284</v>
      </c>
      <c r="Z14" s="355">
        <v>0.25</v>
      </c>
      <c r="AA14" s="354">
        <v>5361.3790767188284</v>
      </c>
      <c r="AB14" s="354">
        <v>1</v>
      </c>
      <c r="AC14" s="354">
        <v>21445.516306875314</v>
      </c>
      <c r="AD14" s="357"/>
      <c r="AE14" s="358" t="s">
        <v>1803</v>
      </c>
      <c r="AF14" s="346" t="s">
        <v>1838</v>
      </c>
      <c r="AG14" s="347"/>
      <c r="AH14" s="359" t="s">
        <v>1805</v>
      </c>
      <c r="AI14" s="347" t="s">
        <v>1839</v>
      </c>
      <c r="AJ14" s="347" t="s">
        <v>535</v>
      </c>
      <c r="AK14" s="746" t="s">
        <v>1840</v>
      </c>
      <c r="AL14" s="182" t="s">
        <v>1844</v>
      </c>
    </row>
    <row r="15" spans="1:38" ht="13.5" hidden="1" customHeight="1">
      <c r="A15" s="342" t="s">
        <v>1845</v>
      </c>
      <c r="B15" s="342" t="s">
        <v>1794</v>
      </c>
      <c r="C15" s="342" t="s">
        <v>1795</v>
      </c>
      <c r="D15" s="342" t="s">
        <v>1812</v>
      </c>
      <c r="E15" s="342" t="s">
        <v>1846</v>
      </c>
      <c r="F15" s="361">
        <v>17</v>
      </c>
      <c r="G15" s="344" t="s">
        <v>508</v>
      </c>
      <c r="H15" s="345" t="s">
        <v>509</v>
      </c>
      <c r="I15" s="346" t="s">
        <v>1846</v>
      </c>
      <c r="J15" s="347" t="s">
        <v>881</v>
      </c>
      <c r="K15" s="348" t="s">
        <v>1798</v>
      </c>
      <c r="L15" s="349" t="s">
        <v>1799</v>
      </c>
      <c r="M15" s="349" t="s">
        <v>1800</v>
      </c>
      <c r="N15" s="348" t="s">
        <v>1801</v>
      </c>
      <c r="O15" s="350" t="s">
        <v>964</v>
      </c>
      <c r="P15" s="351" t="s">
        <v>873</v>
      </c>
      <c r="Q15" s="352" t="s">
        <v>1802</v>
      </c>
      <c r="R15" s="353">
        <v>410700</v>
      </c>
      <c r="S15" s="354">
        <v>16084.137230156484</v>
      </c>
      <c r="T15" s="355">
        <v>0.25</v>
      </c>
      <c r="U15" s="356">
        <v>4021.0343075391211</v>
      </c>
      <c r="V15" s="355">
        <v>0.25</v>
      </c>
      <c r="W15" s="356">
        <v>4021.0343075391211</v>
      </c>
      <c r="X15" s="355">
        <v>0.25</v>
      </c>
      <c r="Y15" s="356">
        <v>4021.0343075391211</v>
      </c>
      <c r="Z15" s="355">
        <v>0.25</v>
      </c>
      <c r="AA15" s="354">
        <v>4021.0343075391211</v>
      </c>
      <c r="AB15" s="354">
        <v>1</v>
      </c>
      <c r="AC15" s="354">
        <v>16084.137230156484</v>
      </c>
      <c r="AD15" s="357"/>
      <c r="AE15" s="358" t="s">
        <v>1803</v>
      </c>
      <c r="AF15" s="346" t="s">
        <v>1838</v>
      </c>
      <c r="AG15" s="347"/>
      <c r="AH15" s="359" t="s">
        <v>1805</v>
      </c>
      <c r="AI15" s="347" t="s">
        <v>1839</v>
      </c>
      <c r="AJ15" s="347" t="s">
        <v>535</v>
      </c>
      <c r="AK15" s="746" t="s">
        <v>1840</v>
      </c>
      <c r="AL15" s="111"/>
    </row>
    <row r="16" spans="1:38" ht="13.5" hidden="1" customHeight="1">
      <c r="A16" s="342" t="s">
        <v>1847</v>
      </c>
      <c r="B16" s="342" t="s">
        <v>1794</v>
      </c>
      <c r="C16" s="342" t="s">
        <v>1795</v>
      </c>
      <c r="D16" s="342" t="s">
        <v>1819</v>
      </c>
      <c r="E16" s="342" t="s">
        <v>1848</v>
      </c>
      <c r="F16" s="361">
        <v>18</v>
      </c>
      <c r="G16" s="344" t="s">
        <v>508</v>
      </c>
      <c r="H16" s="345" t="s">
        <v>509</v>
      </c>
      <c r="I16" s="346" t="s">
        <v>1848</v>
      </c>
      <c r="J16" s="347" t="s">
        <v>877</v>
      </c>
      <c r="K16" s="348" t="s">
        <v>1798</v>
      </c>
      <c r="L16" s="349" t="s">
        <v>1799</v>
      </c>
      <c r="M16" s="349" t="s">
        <v>1800</v>
      </c>
      <c r="N16" s="348" t="s">
        <v>1801</v>
      </c>
      <c r="O16" s="350" t="s">
        <v>789</v>
      </c>
      <c r="P16" s="351" t="s">
        <v>873</v>
      </c>
      <c r="Q16" s="352" t="s">
        <v>1802</v>
      </c>
      <c r="R16" s="353">
        <v>1080400</v>
      </c>
      <c r="S16" s="354">
        <v>42311.424064916158</v>
      </c>
      <c r="T16" s="355">
        <v>0.25</v>
      </c>
      <c r="U16" s="356">
        <v>10577.85601622904</v>
      </c>
      <c r="V16" s="355">
        <v>0.25</v>
      </c>
      <c r="W16" s="356">
        <v>10577.85601622904</v>
      </c>
      <c r="X16" s="355">
        <v>0.25</v>
      </c>
      <c r="Y16" s="356">
        <v>10577.85601622904</v>
      </c>
      <c r="Z16" s="355">
        <v>0.25</v>
      </c>
      <c r="AA16" s="354">
        <v>10577.85601622904</v>
      </c>
      <c r="AB16" s="354">
        <v>1</v>
      </c>
      <c r="AC16" s="354">
        <v>42311.424064916158</v>
      </c>
      <c r="AD16" s="357"/>
      <c r="AE16" s="358" t="s">
        <v>1803</v>
      </c>
      <c r="AF16" s="346" t="s">
        <v>1838</v>
      </c>
      <c r="AG16" s="347"/>
      <c r="AH16" s="359" t="s">
        <v>1805</v>
      </c>
      <c r="AI16" s="347" t="s">
        <v>1839</v>
      </c>
      <c r="AJ16" s="347" t="s">
        <v>535</v>
      </c>
      <c r="AK16" s="746" t="s">
        <v>1840</v>
      </c>
      <c r="AL16" s="111"/>
    </row>
    <row r="17" spans="1:38" ht="13.5" hidden="1" customHeight="1">
      <c r="A17" s="362" t="s">
        <v>1849</v>
      </c>
      <c r="B17" s="362" t="s">
        <v>1794</v>
      </c>
      <c r="C17" s="362" t="s">
        <v>1795</v>
      </c>
      <c r="D17" s="362" t="s">
        <v>1850</v>
      </c>
      <c r="E17" s="362" t="s">
        <v>1851</v>
      </c>
      <c r="F17" s="396">
        <v>19</v>
      </c>
      <c r="G17" s="364" t="s">
        <v>508</v>
      </c>
      <c r="H17" s="365" t="s">
        <v>509</v>
      </c>
      <c r="I17" s="366" t="s">
        <v>1851</v>
      </c>
      <c r="J17" s="367" t="s">
        <v>878</v>
      </c>
      <c r="K17" s="368" t="s">
        <v>1798</v>
      </c>
      <c r="L17" s="369" t="s">
        <v>1799</v>
      </c>
      <c r="M17" s="369" t="s">
        <v>1800</v>
      </c>
      <c r="N17" s="368" t="s">
        <v>1801</v>
      </c>
      <c r="O17" s="370" t="s">
        <v>789</v>
      </c>
      <c r="P17" s="371" t="s">
        <v>873</v>
      </c>
      <c r="Q17" s="372" t="s">
        <v>1802</v>
      </c>
      <c r="R17" s="373">
        <v>1110000</v>
      </c>
      <c r="S17" s="374">
        <v>43470.641162585096</v>
      </c>
      <c r="T17" s="375">
        <v>0.25</v>
      </c>
      <c r="U17" s="376">
        <v>10867.660290646274</v>
      </c>
      <c r="V17" s="375">
        <v>0.25</v>
      </c>
      <c r="W17" s="376">
        <v>10867.660290646274</v>
      </c>
      <c r="X17" s="375">
        <v>0.25</v>
      </c>
      <c r="Y17" s="376">
        <v>10867.660290646274</v>
      </c>
      <c r="Z17" s="375">
        <v>0.25</v>
      </c>
      <c r="AA17" s="374">
        <v>10867.660290646274</v>
      </c>
      <c r="AB17" s="374">
        <v>1</v>
      </c>
      <c r="AC17" s="374">
        <v>43470.641162585096</v>
      </c>
      <c r="AD17" s="377"/>
      <c r="AE17" s="378" t="s">
        <v>1803</v>
      </c>
      <c r="AF17" s="366" t="s">
        <v>1838</v>
      </c>
      <c r="AG17" s="367"/>
      <c r="AH17" s="379" t="s">
        <v>1805</v>
      </c>
      <c r="AI17" s="367" t="s">
        <v>1839</v>
      </c>
      <c r="AJ17" s="367" t="s">
        <v>535</v>
      </c>
      <c r="AK17" s="746" t="s">
        <v>1840</v>
      </c>
      <c r="AL17" s="111"/>
    </row>
    <row r="18" spans="1:38" ht="13.5" customHeight="1">
      <c r="A18" s="380" t="s">
        <v>1852</v>
      </c>
      <c r="B18" s="380" t="s">
        <v>1794</v>
      </c>
      <c r="C18" s="380" t="s">
        <v>1795</v>
      </c>
      <c r="D18" s="380" t="s">
        <v>1853</v>
      </c>
      <c r="E18" s="380" t="s">
        <v>1854</v>
      </c>
      <c r="F18" s="381">
        <v>20</v>
      </c>
      <c r="G18" s="382" t="s">
        <v>508</v>
      </c>
      <c r="H18" s="743" t="s">
        <v>509</v>
      </c>
      <c r="I18" s="383" t="s">
        <v>1854</v>
      </c>
      <c r="J18" s="744" t="s">
        <v>882</v>
      </c>
      <c r="K18" s="384" t="s">
        <v>1798</v>
      </c>
      <c r="L18" s="385" t="s">
        <v>1799</v>
      </c>
      <c r="M18" s="385" t="s">
        <v>1800</v>
      </c>
      <c r="N18" s="384" t="s">
        <v>1801</v>
      </c>
      <c r="O18" s="386" t="s">
        <v>789</v>
      </c>
      <c r="P18" s="387" t="s">
        <v>873</v>
      </c>
      <c r="Q18" s="388" t="s">
        <v>1802</v>
      </c>
      <c r="R18" s="389">
        <v>594000</v>
      </c>
      <c r="S18" s="390">
        <v>23262.667432950941</v>
      </c>
      <c r="T18" s="391">
        <v>0.25</v>
      </c>
      <c r="U18" s="392">
        <v>5815.6668582377351</v>
      </c>
      <c r="V18" s="391">
        <v>0.25</v>
      </c>
      <c r="W18" s="392">
        <v>5815.6668582377351</v>
      </c>
      <c r="X18" s="391">
        <v>0.25</v>
      </c>
      <c r="Y18" s="392">
        <v>5815.6668582377351</v>
      </c>
      <c r="Z18" s="391">
        <v>0.25</v>
      </c>
      <c r="AA18" s="390">
        <v>5815.6668582377351</v>
      </c>
      <c r="AB18" s="390">
        <v>1</v>
      </c>
      <c r="AC18" s="390">
        <v>23262.667432950941</v>
      </c>
      <c r="AD18" s="393"/>
      <c r="AE18" s="394" t="s">
        <v>1803</v>
      </c>
      <c r="AF18" s="383" t="s">
        <v>1855</v>
      </c>
      <c r="AG18" s="744"/>
      <c r="AH18" s="745" t="s">
        <v>1805</v>
      </c>
      <c r="AI18" s="747" t="s">
        <v>1856</v>
      </c>
      <c r="AJ18" s="397" t="s">
        <v>535</v>
      </c>
      <c r="AK18" s="398" t="s">
        <v>1857</v>
      </c>
      <c r="AL18" s="111" t="s">
        <v>1858</v>
      </c>
    </row>
    <row r="19" spans="1:38" ht="13.5" customHeight="1">
      <c r="A19" s="342" t="s">
        <v>1859</v>
      </c>
      <c r="B19" s="342" t="s">
        <v>1794</v>
      </c>
      <c r="C19" s="342" t="s">
        <v>1795</v>
      </c>
      <c r="D19" s="342" t="s">
        <v>1860</v>
      </c>
      <c r="E19" s="342" t="s">
        <v>1861</v>
      </c>
      <c r="F19" s="361">
        <v>21</v>
      </c>
      <c r="G19" s="344" t="s">
        <v>508</v>
      </c>
      <c r="H19" s="345" t="s">
        <v>509</v>
      </c>
      <c r="I19" s="346" t="s">
        <v>1861</v>
      </c>
      <c r="J19" s="347" t="s">
        <v>1862</v>
      </c>
      <c r="K19" s="348" t="s">
        <v>1798</v>
      </c>
      <c r="L19" s="349" t="s">
        <v>1799</v>
      </c>
      <c r="M19" s="349" t="s">
        <v>1800</v>
      </c>
      <c r="N19" s="348" t="s">
        <v>1801</v>
      </c>
      <c r="O19" s="350" t="s">
        <v>789</v>
      </c>
      <c r="P19" s="351" t="s">
        <v>873</v>
      </c>
      <c r="Q19" s="352" t="s">
        <v>1802</v>
      </c>
      <c r="R19" s="353">
        <v>350000</v>
      </c>
      <c r="S19" s="354">
        <v>13706.958925139443</v>
      </c>
      <c r="T19" s="355">
        <v>0.25</v>
      </c>
      <c r="U19" s="356">
        <v>3426.7397312848607</v>
      </c>
      <c r="V19" s="355">
        <v>0.25</v>
      </c>
      <c r="W19" s="356">
        <v>3426.7397312848607</v>
      </c>
      <c r="X19" s="355">
        <v>0.25</v>
      </c>
      <c r="Y19" s="356">
        <v>3426.7397312848607</v>
      </c>
      <c r="Z19" s="355">
        <v>0.25</v>
      </c>
      <c r="AA19" s="354">
        <v>3426.7397312848607</v>
      </c>
      <c r="AB19" s="354">
        <v>1</v>
      </c>
      <c r="AC19" s="354">
        <v>13706.958925139443</v>
      </c>
      <c r="AD19" s="357"/>
      <c r="AE19" s="358" t="s">
        <v>1803</v>
      </c>
      <c r="AF19" s="346" t="s">
        <v>1855</v>
      </c>
      <c r="AG19" s="347"/>
      <c r="AH19" s="359" t="s">
        <v>1805</v>
      </c>
      <c r="AI19" s="399" t="s">
        <v>1856</v>
      </c>
      <c r="AJ19" s="400" t="s">
        <v>535</v>
      </c>
      <c r="AK19" s="398" t="s">
        <v>1857</v>
      </c>
      <c r="AL19" s="111" t="s">
        <v>1863</v>
      </c>
    </row>
    <row r="20" spans="1:38" ht="13.5" customHeight="1">
      <c r="A20" s="342" t="s">
        <v>1864</v>
      </c>
      <c r="B20" s="342" t="s">
        <v>1794</v>
      </c>
      <c r="C20" s="342" t="s">
        <v>1795</v>
      </c>
      <c r="D20" s="342" t="s">
        <v>1865</v>
      </c>
      <c r="E20" s="342" t="s">
        <v>1866</v>
      </c>
      <c r="F20" s="343">
        <v>22</v>
      </c>
      <c r="G20" s="344" t="s">
        <v>508</v>
      </c>
      <c r="H20" s="345" t="s">
        <v>509</v>
      </c>
      <c r="I20" s="346" t="s">
        <v>1866</v>
      </c>
      <c r="J20" s="347" t="s">
        <v>848</v>
      </c>
      <c r="K20" s="348" t="s">
        <v>1798</v>
      </c>
      <c r="L20" s="349" t="s">
        <v>1799</v>
      </c>
      <c r="M20" s="349" t="s">
        <v>1800</v>
      </c>
      <c r="N20" s="348" t="s">
        <v>1801</v>
      </c>
      <c r="O20" s="350" t="s">
        <v>947</v>
      </c>
      <c r="P20" s="351" t="s">
        <v>873</v>
      </c>
      <c r="Q20" s="352" t="s">
        <v>1802</v>
      </c>
      <c r="R20" s="353">
        <v>66682</v>
      </c>
      <c r="S20" s="354">
        <v>2611.4498144175668</v>
      </c>
      <c r="T20" s="355">
        <v>0.25</v>
      </c>
      <c r="U20" s="356">
        <v>652.8624536043917</v>
      </c>
      <c r="V20" s="355">
        <v>0.25</v>
      </c>
      <c r="W20" s="356">
        <v>652.8624536043917</v>
      </c>
      <c r="X20" s="355">
        <v>0.25</v>
      </c>
      <c r="Y20" s="356">
        <v>652.8624536043917</v>
      </c>
      <c r="Z20" s="355">
        <v>0.25</v>
      </c>
      <c r="AA20" s="354">
        <v>652.8624536043917</v>
      </c>
      <c r="AB20" s="354">
        <v>1</v>
      </c>
      <c r="AC20" s="354">
        <v>2611.4498144175668</v>
      </c>
      <c r="AD20" s="357"/>
      <c r="AE20" s="358" t="s">
        <v>1803</v>
      </c>
      <c r="AF20" s="346" t="s">
        <v>1855</v>
      </c>
      <c r="AG20" s="347"/>
      <c r="AH20" s="359" t="s">
        <v>1805</v>
      </c>
      <c r="AI20" s="399" t="s">
        <v>1856</v>
      </c>
      <c r="AJ20" s="400" t="s">
        <v>535</v>
      </c>
      <c r="AK20" s="398" t="s">
        <v>1857</v>
      </c>
      <c r="AL20" s="111" t="s">
        <v>1867</v>
      </c>
    </row>
    <row r="21" spans="1:38" ht="13.5" customHeight="1">
      <c r="A21" s="362" t="s">
        <v>1868</v>
      </c>
      <c r="B21" s="362" t="s">
        <v>1794</v>
      </c>
      <c r="C21" s="362" t="s">
        <v>1795</v>
      </c>
      <c r="D21" s="362" t="s">
        <v>1869</v>
      </c>
      <c r="E21" s="362" t="s">
        <v>1870</v>
      </c>
      <c r="F21" s="363">
        <v>23</v>
      </c>
      <c r="G21" s="364" t="s">
        <v>508</v>
      </c>
      <c r="H21" s="365" t="s">
        <v>509</v>
      </c>
      <c r="I21" s="366" t="s">
        <v>1870</v>
      </c>
      <c r="J21" s="367" t="s">
        <v>1392</v>
      </c>
      <c r="K21" s="368" t="s">
        <v>1798</v>
      </c>
      <c r="L21" s="369" t="s">
        <v>1799</v>
      </c>
      <c r="M21" s="369" t="s">
        <v>1800</v>
      </c>
      <c r="N21" s="368" t="s">
        <v>1801</v>
      </c>
      <c r="O21" s="370" t="s">
        <v>789</v>
      </c>
      <c r="P21" s="371" t="s">
        <v>873</v>
      </c>
      <c r="Q21" s="372" t="s">
        <v>1802</v>
      </c>
      <c r="R21" s="373">
        <v>2195784.3624999998</v>
      </c>
      <c r="S21" s="374">
        <v>85992.931615002846</v>
      </c>
      <c r="T21" s="375">
        <v>0.25</v>
      </c>
      <c r="U21" s="376">
        <v>21498.232903750712</v>
      </c>
      <c r="V21" s="375">
        <v>0.25</v>
      </c>
      <c r="W21" s="376">
        <v>21498.232903750712</v>
      </c>
      <c r="X21" s="375">
        <v>0.25</v>
      </c>
      <c r="Y21" s="376">
        <v>21498.232903750712</v>
      </c>
      <c r="Z21" s="375">
        <v>0.25</v>
      </c>
      <c r="AA21" s="374">
        <v>21498.232903750712</v>
      </c>
      <c r="AB21" s="374">
        <v>1</v>
      </c>
      <c r="AC21" s="374">
        <v>85992.931615002846</v>
      </c>
      <c r="AD21" s="377"/>
      <c r="AE21" s="378" t="s">
        <v>1803</v>
      </c>
      <c r="AF21" s="366" t="s">
        <v>1855</v>
      </c>
      <c r="AG21" s="367"/>
      <c r="AH21" s="379" t="s">
        <v>1805</v>
      </c>
      <c r="AI21" s="401" t="s">
        <v>1856</v>
      </c>
      <c r="AJ21" s="402" t="s">
        <v>535</v>
      </c>
      <c r="AK21" s="398" t="s">
        <v>1857</v>
      </c>
      <c r="AL21" s="111"/>
    </row>
    <row r="22" spans="1:38" ht="13.5" customHeight="1">
      <c r="A22" s="403" t="s">
        <v>1871</v>
      </c>
      <c r="B22" s="403" t="s">
        <v>1794</v>
      </c>
      <c r="C22" s="403" t="s">
        <v>1795</v>
      </c>
      <c r="D22" s="403" t="s">
        <v>1865</v>
      </c>
      <c r="E22" s="403" t="s">
        <v>1872</v>
      </c>
      <c r="F22" s="404">
        <v>31</v>
      </c>
      <c r="G22" s="405" t="s">
        <v>508</v>
      </c>
      <c r="H22" s="406" t="s">
        <v>1873</v>
      </c>
      <c r="I22" s="323" t="s">
        <v>1872</v>
      </c>
      <c r="J22" s="407" t="s">
        <v>848</v>
      </c>
      <c r="K22" s="348" t="s">
        <v>1798</v>
      </c>
      <c r="L22" s="349" t="s">
        <v>1799</v>
      </c>
      <c r="M22" s="349" t="s">
        <v>1800</v>
      </c>
      <c r="N22" s="348" t="s">
        <v>1801</v>
      </c>
      <c r="O22" s="408" t="s">
        <v>947</v>
      </c>
      <c r="P22" s="351" t="s">
        <v>873</v>
      </c>
      <c r="Q22" s="352" t="s">
        <v>1802</v>
      </c>
      <c r="R22" s="353">
        <v>850195.50000000012</v>
      </c>
      <c r="S22" s="354">
        <v>33295.985133823982</v>
      </c>
      <c r="T22" s="355">
        <v>0.25</v>
      </c>
      <c r="U22" s="356">
        <v>8323.9962834559956</v>
      </c>
      <c r="V22" s="355">
        <v>0.25</v>
      </c>
      <c r="W22" s="356">
        <v>8323.9962834559956</v>
      </c>
      <c r="X22" s="355">
        <v>0.25</v>
      </c>
      <c r="Y22" s="356">
        <v>8323.9962834559956</v>
      </c>
      <c r="Z22" s="355">
        <v>0.25</v>
      </c>
      <c r="AA22" s="354">
        <v>8323.9962834559956</v>
      </c>
      <c r="AB22" s="354">
        <v>1</v>
      </c>
      <c r="AC22" s="354">
        <v>33295.985133823982</v>
      </c>
      <c r="AD22" s="357"/>
      <c r="AE22" s="344" t="s">
        <v>1803</v>
      </c>
      <c r="AF22" s="346" t="s">
        <v>1874</v>
      </c>
      <c r="AG22" s="347"/>
      <c r="AH22" s="359" t="s">
        <v>1805</v>
      </c>
      <c r="AI22" s="399" t="s">
        <v>1856</v>
      </c>
      <c r="AJ22" s="400" t="s">
        <v>535</v>
      </c>
      <c r="AK22" s="407" t="s">
        <v>108</v>
      </c>
      <c r="AL22" s="111" t="s">
        <v>1875</v>
      </c>
    </row>
    <row r="23" spans="1:38" ht="13.5" customHeight="1">
      <c r="A23" s="403" t="s">
        <v>1876</v>
      </c>
      <c r="B23" s="403" t="s">
        <v>1794</v>
      </c>
      <c r="C23" s="403" t="s">
        <v>1795</v>
      </c>
      <c r="D23" s="403" t="s">
        <v>1865</v>
      </c>
      <c r="E23" s="403" t="s">
        <v>1877</v>
      </c>
      <c r="F23" s="409">
        <v>32</v>
      </c>
      <c r="G23" s="405" t="s">
        <v>508</v>
      </c>
      <c r="H23" s="406" t="s">
        <v>1873</v>
      </c>
      <c r="I23" s="323" t="s">
        <v>1877</v>
      </c>
      <c r="J23" s="407" t="s">
        <v>848</v>
      </c>
      <c r="K23" s="348" t="s">
        <v>1798</v>
      </c>
      <c r="L23" s="349" t="s">
        <v>1799</v>
      </c>
      <c r="M23" s="349" t="s">
        <v>1800</v>
      </c>
      <c r="N23" s="348" t="s">
        <v>1801</v>
      </c>
      <c r="O23" s="408" t="s">
        <v>947</v>
      </c>
      <c r="P23" s="351" t="s">
        <v>873</v>
      </c>
      <c r="Q23" s="352" t="s">
        <v>1802</v>
      </c>
      <c r="R23" s="353">
        <v>100023.00000000001</v>
      </c>
      <c r="S23" s="354">
        <v>3917.1747216263507</v>
      </c>
      <c r="T23" s="355">
        <v>0.25</v>
      </c>
      <c r="U23" s="356">
        <v>979.29368040658767</v>
      </c>
      <c r="V23" s="355">
        <v>0.25</v>
      </c>
      <c r="W23" s="356">
        <v>979.29368040658767</v>
      </c>
      <c r="X23" s="355">
        <v>0.25</v>
      </c>
      <c r="Y23" s="356">
        <v>979.29368040658767</v>
      </c>
      <c r="Z23" s="355">
        <v>0.25</v>
      </c>
      <c r="AA23" s="354">
        <v>979.29368040658767</v>
      </c>
      <c r="AB23" s="354">
        <v>1</v>
      </c>
      <c r="AC23" s="354">
        <v>3917.1747216263507</v>
      </c>
      <c r="AD23" s="357"/>
      <c r="AE23" s="344" t="s">
        <v>1803</v>
      </c>
      <c r="AF23" s="346" t="s">
        <v>1878</v>
      </c>
      <c r="AG23" s="347"/>
      <c r="AH23" s="359" t="s">
        <v>1805</v>
      </c>
      <c r="AI23" s="399" t="s">
        <v>1856</v>
      </c>
      <c r="AJ23" s="400" t="s">
        <v>535</v>
      </c>
      <c r="AK23" s="407" t="s">
        <v>108</v>
      </c>
      <c r="AL23" s="111" t="s">
        <v>1879</v>
      </c>
    </row>
    <row r="24" spans="1:38" ht="13.5" hidden="1" customHeight="1">
      <c r="A24" s="410" t="s">
        <v>1880</v>
      </c>
      <c r="B24" s="410" t="s">
        <v>1794</v>
      </c>
      <c r="C24" s="410" t="s">
        <v>1795</v>
      </c>
      <c r="D24" s="410" t="s">
        <v>1865</v>
      </c>
      <c r="E24" s="410" t="s">
        <v>604</v>
      </c>
      <c r="F24" s="411">
        <v>38</v>
      </c>
      <c r="G24" s="412" t="s">
        <v>508</v>
      </c>
      <c r="H24" s="413" t="s">
        <v>603</v>
      </c>
      <c r="I24" s="414" t="s">
        <v>604</v>
      </c>
      <c r="J24" s="415" t="s">
        <v>848</v>
      </c>
      <c r="K24" s="368" t="s">
        <v>1798</v>
      </c>
      <c r="L24" s="369" t="s">
        <v>1799</v>
      </c>
      <c r="M24" s="369" t="s">
        <v>1800</v>
      </c>
      <c r="N24" s="368" t="s">
        <v>1801</v>
      </c>
      <c r="O24" s="416" t="s">
        <v>947</v>
      </c>
      <c r="P24" s="371" t="s">
        <v>873</v>
      </c>
      <c r="Q24" s="372" t="s">
        <v>1802</v>
      </c>
      <c r="R24" s="373">
        <v>850195.50000000012</v>
      </c>
      <c r="S24" s="374">
        <v>33295.985133823982</v>
      </c>
      <c r="T24" s="375">
        <v>0.25</v>
      </c>
      <c r="U24" s="376">
        <v>8323.9962834559956</v>
      </c>
      <c r="V24" s="375">
        <v>0.25</v>
      </c>
      <c r="W24" s="376">
        <v>8323.9962834559956</v>
      </c>
      <c r="X24" s="375">
        <v>0.25</v>
      </c>
      <c r="Y24" s="376">
        <v>8323.9962834559956</v>
      </c>
      <c r="Z24" s="375">
        <v>0.25</v>
      </c>
      <c r="AA24" s="374">
        <v>8323.9962834559956</v>
      </c>
      <c r="AB24" s="374">
        <v>1</v>
      </c>
      <c r="AC24" s="374">
        <v>33295.985133823982</v>
      </c>
      <c r="AD24" s="377"/>
      <c r="AE24" s="364" t="s">
        <v>1803</v>
      </c>
      <c r="AF24" s="366" t="s">
        <v>1881</v>
      </c>
      <c r="AG24" s="367"/>
      <c r="AH24" s="379" t="s">
        <v>1805</v>
      </c>
      <c r="AI24" s="367" t="s">
        <v>1856</v>
      </c>
      <c r="AJ24" s="402" t="s">
        <v>561</v>
      </c>
      <c r="AK24" s="367" t="s">
        <v>199</v>
      </c>
      <c r="AL24" s="111" t="s">
        <v>1882</v>
      </c>
    </row>
    <row r="25" spans="1:38" ht="13.5" hidden="1" customHeight="1">
      <c r="A25" s="380" t="s">
        <v>1883</v>
      </c>
      <c r="B25" s="380" t="s">
        <v>1794</v>
      </c>
      <c r="C25" s="380" t="s">
        <v>1795</v>
      </c>
      <c r="D25" s="380" t="s">
        <v>1796</v>
      </c>
      <c r="E25" s="380" t="s">
        <v>1884</v>
      </c>
      <c r="F25" s="381">
        <v>39</v>
      </c>
      <c r="G25" s="382" t="s">
        <v>508</v>
      </c>
      <c r="H25" s="743" t="s">
        <v>573</v>
      </c>
      <c r="I25" s="383" t="s">
        <v>1884</v>
      </c>
      <c r="J25" s="744" t="s">
        <v>875</v>
      </c>
      <c r="K25" s="384" t="s">
        <v>1798</v>
      </c>
      <c r="L25" s="385" t="s">
        <v>1799</v>
      </c>
      <c r="M25" s="385" t="s">
        <v>1800</v>
      </c>
      <c r="N25" s="384" t="s">
        <v>1801</v>
      </c>
      <c r="O25" s="386" t="s">
        <v>1133</v>
      </c>
      <c r="P25" s="387" t="s">
        <v>873</v>
      </c>
      <c r="Q25" s="388" t="s">
        <v>1802</v>
      </c>
      <c r="R25" s="389">
        <v>606814.61569325009</v>
      </c>
      <c r="S25" s="390">
        <v>23764.522892804729</v>
      </c>
      <c r="T25" s="391">
        <v>0.25</v>
      </c>
      <c r="U25" s="392">
        <v>5941.1307232011823</v>
      </c>
      <c r="V25" s="391">
        <v>0.25</v>
      </c>
      <c r="W25" s="392">
        <v>5941.1307232011823</v>
      </c>
      <c r="X25" s="391">
        <v>0.25</v>
      </c>
      <c r="Y25" s="392">
        <v>5941.1307232011823</v>
      </c>
      <c r="Z25" s="391">
        <v>0.25</v>
      </c>
      <c r="AA25" s="390">
        <v>5941.1307232011823</v>
      </c>
      <c r="AB25" s="390">
        <v>1</v>
      </c>
      <c r="AC25" s="390">
        <v>23764.522892804729</v>
      </c>
      <c r="AD25" s="393"/>
      <c r="AE25" s="394" t="s">
        <v>1803</v>
      </c>
      <c r="AF25" s="383" t="s">
        <v>1885</v>
      </c>
      <c r="AG25" s="744"/>
      <c r="AH25" s="745" t="s">
        <v>1805</v>
      </c>
      <c r="AI25" s="744" t="s">
        <v>1886</v>
      </c>
      <c r="AJ25" s="744" t="s">
        <v>561</v>
      </c>
      <c r="AK25" s="748" t="s">
        <v>1887</v>
      </c>
      <c r="AL25" s="182"/>
    </row>
    <row r="26" spans="1:38" ht="13.5" hidden="1" customHeight="1">
      <c r="A26" s="342" t="s">
        <v>1888</v>
      </c>
      <c r="B26" s="342" t="s">
        <v>1794</v>
      </c>
      <c r="C26" s="342" t="s">
        <v>1795</v>
      </c>
      <c r="D26" s="342" t="s">
        <v>1809</v>
      </c>
      <c r="E26" s="342" t="s">
        <v>1889</v>
      </c>
      <c r="F26" s="343">
        <v>40</v>
      </c>
      <c r="G26" s="344" t="s">
        <v>508</v>
      </c>
      <c r="H26" s="345" t="s">
        <v>573</v>
      </c>
      <c r="I26" s="346" t="s">
        <v>1889</v>
      </c>
      <c r="J26" s="347" t="s">
        <v>977</v>
      </c>
      <c r="K26" s="348" t="s">
        <v>1798</v>
      </c>
      <c r="L26" s="349" t="s">
        <v>1799</v>
      </c>
      <c r="M26" s="349" t="s">
        <v>1800</v>
      </c>
      <c r="N26" s="348" t="s">
        <v>1801</v>
      </c>
      <c r="O26" s="350" t="s">
        <v>961</v>
      </c>
      <c r="P26" s="351" t="s">
        <v>873</v>
      </c>
      <c r="Q26" s="352" t="s">
        <v>1802</v>
      </c>
      <c r="R26" s="353">
        <v>3277663.3322162498</v>
      </c>
      <c r="S26" s="354">
        <v>128362.27618606803</v>
      </c>
      <c r="T26" s="355">
        <v>0.25</v>
      </c>
      <c r="U26" s="356">
        <v>32090.569046517008</v>
      </c>
      <c r="V26" s="355">
        <v>0.25</v>
      </c>
      <c r="W26" s="356">
        <v>32090.569046517008</v>
      </c>
      <c r="X26" s="355">
        <v>0.25</v>
      </c>
      <c r="Y26" s="356">
        <v>32090.569046517008</v>
      </c>
      <c r="Z26" s="355">
        <v>0.25</v>
      </c>
      <c r="AA26" s="354">
        <v>32090.569046517008</v>
      </c>
      <c r="AB26" s="354">
        <v>1</v>
      </c>
      <c r="AC26" s="354">
        <v>128362.27618606803</v>
      </c>
      <c r="AD26" s="357"/>
      <c r="AE26" s="358" t="s">
        <v>1803</v>
      </c>
      <c r="AF26" s="346" t="s">
        <v>1885</v>
      </c>
      <c r="AG26" s="347"/>
      <c r="AH26" s="359" t="s">
        <v>1805</v>
      </c>
      <c r="AI26" s="347" t="s">
        <v>1886</v>
      </c>
      <c r="AJ26" s="347" t="s">
        <v>561</v>
      </c>
      <c r="AK26" s="748" t="s">
        <v>1887</v>
      </c>
      <c r="AL26" s="111"/>
    </row>
    <row r="27" spans="1:38" ht="13.5" hidden="1" customHeight="1">
      <c r="A27" s="342" t="s">
        <v>1890</v>
      </c>
      <c r="B27" s="342" t="s">
        <v>1794</v>
      </c>
      <c r="C27" s="342" t="s">
        <v>1795</v>
      </c>
      <c r="D27" s="342" t="s">
        <v>1812</v>
      </c>
      <c r="E27" s="342" t="s">
        <v>1891</v>
      </c>
      <c r="F27" s="361">
        <v>41</v>
      </c>
      <c r="G27" s="344" t="s">
        <v>508</v>
      </c>
      <c r="H27" s="345" t="s">
        <v>573</v>
      </c>
      <c r="I27" s="346" t="s">
        <v>1891</v>
      </c>
      <c r="J27" s="347" t="s">
        <v>881</v>
      </c>
      <c r="K27" s="348" t="s">
        <v>1798</v>
      </c>
      <c r="L27" s="349" t="s">
        <v>1799</v>
      </c>
      <c r="M27" s="349" t="s">
        <v>1800</v>
      </c>
      <c r="N27" s="348" t="s">
        <v>1801</v>
      </c>
      <c r="O27" s="350" t="s">
        <v>964</v>
      </c>
      <c r="P27" s="351" t="s">
        <v>873</v>
      </c>
      <c r="Q27" s="352" t="s">
        <v>1802</v>
      </c>
      <c r="R27" s="353">
        <v>1183807.2257561248</v>
      </c>
      <c r="S27" s="354">
        <v>46361.134339207085</v>
      </c>
      <c r="T27" s="355">
        <v>0.25</v>
      </c>
      <c r="U27" s="356">
        <v>11590.283584801771</v>
      </c>
      <c r="V27" s="355">
        <v>0.25</v>
      </c>
      <c r="W27" s="356">
        <v>11590.283584801771</v>
      </c>
      <c r="X27" s="355">
        <v>0.25</v>
      </c>
      <c r="Y27" s="356">
        <v>11590.283584801771</v>
      </c>
      <c r="Z27" s="355">
        <v>0.25</v>
      </c>
      <c r="AA27" s="354">
        <v>11590.283584801771</v>
      </c>
      <c r="AB27" s="354">
        <v>1</v>
      </c>
      <c r="AC27" s="354">
        <v>46361.134339207085</v>
      </c>
      <c r="AD27" s="357"/>
      <c r="AE27" s="358" t="s">
        <v>1803</v>
      </c>
      <c r="AF27" s="346" t="s">
        <v>1885</v>
      </c>
      <c r="AG27" s="347"/>
      <c r="AH27" s="359" t="s">
        <v>1805</v>
      </c>
      <c r="AI27" s="347" t="s">
        <v>1886</v>
      </c>
      <c r="AJ27" s="347" t="s">
        <v>561</v>
      </c>
      <c r="AK27" s="748" t="s">
        <v>1887</v>
      </c>
      <c r="AL27" s="111"/>
    </row>
    <row r="28" spans="1:38" ht="13.5" hidden="1" customHeight="1">
      <c r="A28" s="342" t="s">
        <v>1892</v>
      </c>
      <c r="B28" s="342" t="s">
        <v>1794</v>
      </c>
      <c r="C28" s="342" t="s">
        <v>1795</v>
      </c>
      <c r="D28" s="342" t="s">
        <v>1815</v>
      </c>
      <c r="E28" s="342" t="s">
        <v>1893</v>
      </c>
      <c r="F28" s="361">
        <v>42</v>
      </c>
      <c r="G28" s="344" t="s">
        <v>508</v>
      </c>
      <c r="H28" s="345" t="s">
        <v>573</v>
      </c>
      <c r="I28" s="346" t="s">
        <v>1893</v>
      </c>
      <c r="J28" s="347" t="s">
        <v>989</v>
      </c>
      <c r="K28" s="348" t="s">
        <v>1798</v>
      </c>
      <c r="L28" s="349" t="s">
        <v>1799</v>
      </c>
      <c r="M28" s="349" t="s">
        <v>1800</v>
      </c>
      <c r="N28" s="348" t="s">
        <v>1801</v>
      </c>
      <c r="O28" s="350" t="s">
        <v>1817</v>
      </c>
      <c r="P28" s="351" t="s">
        <v>873</v>
      </c>
      <c r="Q28" s="352" t="s">
        <v>1802</v>
      </c>
      <c r="R28" s="353">
        <v>2105792.4750000001</v>
      </c>
      <c r="S28" s="354">
        <v>82468.602741979223</v>
      </c>
      <c r="T28" s="355">
        <v>0.25</v>
      </c>
      <c r="U28" s="356">
        <v>20617.150685494806</v>
      </c>
      <c r="V28" s="355">
        <v>0.25</v>
      </c>
      <c r="W28" s="356">
        <v>20617.150685494806</v>
      </c>
      <c r="X28" s="355">
        <v>0.25</v>
      </c>
      <c r="Y28" s="356">
        <v>20617.150685494806</v>
      </c>
      <c r="Z28" s="355">
        <v>0.25</v>
      </c>
      <c r="AA28" s="354">
        <v>20617.150685494806</v>
      </c>
      <c r="AB28" s="354">
        <v>1</v>
      </c>
      <c r="AC28" s="354">
        <v>82468.602741979223</v>
      </c>
      <c r="AD28" s="357"/>
      <c r="AE28" s="358" t="s">
        <v>1803</v>
      </c>
      <c r="AF28" s="346" t="s">
        <v>1885</v>
      </c>
      <c r="AG28" s="347"/>
      <c r="AH28" s="359" t="s">
        <v>1805</v>
      </c>
      <c r="AI28" s="347" t="s">
        <v>1886</v>
      </c>
      <c r="AJ28" s="347" t="s">
        <v>561</v>
      </c>
      <c r="AK28" s="748" t="s">
        <v>1887</v>
      </c>
      <c r="AL28" s="111"/>
    </row>
    <row r="29" spans="1:38" ht="13.5" hidden="1" customHeight="1">
      <c r="A29" s="342" t="s">
        <v>1894</v>
      </c>
      <c r="B29" s="342" t="s">
        <v>1794</v>
      </c>
      <c r="C29" s="342" t="s">
        <v>1795</v>
      </c>
      <c r="D29" s="342" t="s">
        <v>1895</v>
      </c>
      <c r="E29" s="342" t="s">
        <v>685</v>
      </c>
      <c r="F29" s="343">
        <v>43</v>
      </c>
      <c r="G29" s="344" t="s">
        <v>508</v>
      </c>
      <c r="H29" s="345" t="s">
        <v>573</v>
      </c>
      <c r="I29" s="346" t="s">
        <v>685</v>
      </c>
      <c r="J29" s="347" t="s">
        <v>994</v>
      </c>
      <c r="K29" s="348" t="s">
        <v>1798</v>
      </c>
      <c r="L29" s="349" t="s">
        <v>1799</v>
      </c>
      <c r="M29" s="349" t="s">
        <v>1800</v>
      </c>
      <c r="N29" s="348" t="s">
        <v>1801</v>
      </c>
      <c r="O29" s="350" t="s">
        <v>789</v>
      </c>
      <c r="P29" s="351" t="s">
        <v>873</v>
      </c>
      <c r="Q29" s="352" t="s">
        <v>1802</v>
      </c>
      <c r="R29" s="353">
        <v>2812500</v>
      </c>
      <c r="S29" s="354">
        <v>110145.20564844196</v>
      </c>
      <c r="T29" s="355">
        <v>0.25</v>
      </c>
      <c r="U29" s="356">
        <v>27536.30141211049</v>
      </c>
      <c r="V29" s="355">
        <v>0.25</v>
      </c>
      <c r="W29" s="356">
        <v>27536.30141211049</v>
      </c>
      <c r="X29" s="355">
        <v>0.25</v>
      </c>
      <c r="Y29" s="356">
        <v>27536.30141211049</v>
      </c>
      <c r="Z29" s="355">
        <v>0.25</v>
      </c>
      <c r="AA29" s="354">
        <v>27536.30141211049</v>
      </c>
      <c r="AB29" s="354">
        <v>1</v>
      </c>
      <c r="AC29" s="354">
        <v>110145.20564844196</v>
      </c>
      <c r="AD29" s="357"/>
      <c r="AE29" s="358" t="s">
        <v>1803</v>
      </c>
      <c r="AF29" s="346" t="s">
        <v>1885</v>
      </c>
      <c r="AG29" s="347"/>
      <c r="AH29" s="359" t="s">
        <v>1805</v>
      </c>
      <c r="AI29" s="347" t="s">
        <v>1886</v>
      </c>
      <c r="AJ29" s="347" t="s">
        <v>561</v>
      </c>
      <c r="AK29" s="748" t="s">
        <v>1887</v>
      </c>
      <c r="AL29" s="111"/>
    </row>
    <row r="30" spans="1:38" ht="13.5" hidden="1" customHeight="1">
      <c r="A30" s="342" t="s">
        <v>1896</v>
      </c>
      <c r="B30" s="342" t="s">
        <v>1794</v>
      </c>
      <c r="C30" s="342" t="s">
        <v>1795</v>
      </c>
      <c r="D30" s="342" t="s">
        <v>1819</v>
      </c>
      <c r="E30" s="342" t="s">
        <v>1897</v>
      </c>
      <c r="F30" s="361">
        <v>44</v>
      </c>
      <c r="G30" s="344" t="s">
        <v>508</v>
      </c>
      <c r="H30" s="345" t="s">
        <v>573</v>
      </c>
      <c r="I30" s="346" t="s">
        <v>1897</v>
      </c>
      <c r="J30" s="347" t="s">
        <v>877</v>
      </c>
      <c r="K30" s="348" t="s">
        <v>1798</v>
      </c>
      <c r="L30" s="349" t="s">
        <v>1799</v>
      </c>
      <c r="M30" s="349" t="s">
        <v>1800</v>
      </c>
      <c r="N30" s="348" t="s">
        <v>1801</v>
      </c>
      <c r="O30" s="350" t="s">
        <v>789</v>
      </c>
      <c r="P30" s="351" t="s">
        <v>873</v>
      </c>
      <c r="Q30" s="352" t="s">
        <v>1802</v>
      </c>
      <c r="R30" s="353">
        <v>411105.04749999999</v>
      </c>
      <c r="S30" s="354">
        <v>16100</v>
      </c>
      <c r="T30" s="355">
        <v>0.25</v>
      </c>
      <c r="U30" s="356">
        <v>4025</v>
      </c>
      <c r="V30" s="355">
        <v>0.25</v>
      </c>
      <c r="W30" s="356">
        <v>4025</v>
      </c>
      <c r="X30" s="355">
        <v>0.25</v>
      </c>
      <c r="Y30" s="356">
        <v>4025</v>
      </c>
      <c r="Z30" s="355">
        <v>0.25</v>
      </c>
      <c r="AA30" s="354">
        <v>4025</v>
      </c>
      <c r="AB30" s="354">
        <v>1</v>
      </c>
      <c r="AC30" s="354">
        <v>16100</v>
      </c>
      <c r="AD30" s="357"/>
      <c r="AE30" s="358" t="s">
        <v>1803</v>
      </c>
      <c r="AF30" s="346" t="s">
        <v>1885</v>
      </c>
      <c r="AG30" s="347"/>
      <c r="AH30" s="359" t="s">
        <v>1805</v>
      </c>
      <c r="AI30" s="347" t="s">
        <v>1886</v>
      </c>
      <c r="AJ30" s="347" t="s">
        <v>561</v>
      </c>
      <c r="AK30" s="748" t="s">
        <v>1887</v>
      </c>
      <c r="AL30" s="111"/>
    </row>
    <row r="31" spans="1:38" ht="13.5" hidden="1" customHeight="1">
      <c r="A31" s="342" t="s">
        <v>1898</v>
      </c>
      <c r="B31" s="342" t="s">
        <v>1794</v>
      </c>
      <c r="C31" s="342" t="s">
        <v>1795</v>
      </c>
      <c r="D31" s="342" t="s">
        <v>1865</v>
      </c>
      <c r="E31" s="342" t="s">
        <v>1899</v>
      </c>
      <c r="F31" s="361">
        <v>45</v>
      </c>
      <c r="G31" s="344" t="s">
        <v>508</v>
      </c>
      <c r="H31" s="345" t="s">
        <v>573</v>
      </c>
      <c r="I31" s="346" t="s">
        <v>1899</v>
      </c>
      <c r="J31" s="347" t="s">
        <v>848</v>
      </c>
      <c r="K31" s="348" t="s">
        <v>1798</v>
      </c>
      <c r="L31" s="349" t="s">
        <v>1799</v>
      </c>
      <c r="M31" s="349" t="s">
        <v>1800</v>
      </c>
      <c r="N31" s="348" t="s">
        <v>1801</v>
      </c>
      <c r="O31" s="350" t="s">
        <v>947</v>
      </c>
      <c r="P31" s="351" t="s">
        <v>873</v>
      </c>
      <c r="Q31" s="352" t="s">
        <v>1802</v>
      </c>
      <c r="R31" s="353">
        <v>0</v>
      </c>
      <c r="S31" s="354">
        <v>0</v>
      </c>
      <c r="T31" s="355">
        <v>0.25</v>
      </c>
      <c r="U31" s="356">
        <v>0</v>
      </c>
      <c r="V31" s="355">
        <v>0.25</v>
      </c>
      <c r="W31" s="356">
        <v>0</v>
      </c>
      <c r="X31" s="355">
        <v>0.25</v>
      </c>
      <c r="Y31" s="356">
        <v>0</v>
      </c>
      <c r="Z31" s="355">
        <v>0.25</v>
      </c>
      <c r="AA31" s="354">
        <v>0</v>
      </c>
      <c r="AB31" s="354">
        <v>1</v>
      </c>
      <c r="AC31" s="354">
        <v>0</v>
      </c>
      <c r="AD31" s="357"/>
      <c r="AE31" s="358" t="s">
        <v>1803</v>
      </c>
      <c r="AF31" s="346" t="s">
        <v>1885</v>
      </c>
      <c r="AG31" s="347"/>
      <c r="AH31" s="359" t="s">
        <v>1805</v>
      </c>
      <c r="AI31" s="347" t="s">
        <v>1886</v>
      </c>
      <c r="AJ31" s="347" t="s">
        <v>561</v>
      </c>
      <c r="AK31" s="748" t="s">
        <v>1887</v>
      </c>
      <c r="AL31" s="111"/>
    </row>
    <row r="32" spans="1:38" ht="13.5" hidden="1" customHeight="1">
      <c r="A32" s="342" t="s">
        <v>1900</v>
      </c>
      <c r="B32" s="342" t="s">
        <v>1794</v>
      </c>
      <c r="C32" s="342" t="s">
        <v>1795</v>
      </c>
      <c r="D32" s="342" t="s">
        <v>1901</v>
      </c>
      <c r="E32" s="342" t="s">
        <v>1902</v>
      </c>
      <c r="F32" s="343">
        <v>46</v>
      </c>
      <c r="G32" s="344" t="s">
        <v>508</v>
      </c>
      <c r="H32" s="345" t="s">
        <v>573</v>
      </c>
      <c r="I32" s="346" t="s">
        <v>1902</v>
      </c>
      <c r="J32" s="347" t="s">
        <v>1903</v>
      </c>
      <c r="K32" s="348" t="s">
        <v>1798</v>
      </c>
      <c r="L32" s="349" t="s">
        <v>1799</v>
      </c>
      <c r="M32" s="349" t="s">
        <v>1800</v>
      </c>
      <c r="N32" s="348" t="s">
        <v>1801</v>
      </c>
      <c r="O32" s="350" t="s">
        <v>789</v>
      </c>
      <c r="P32" s="351" t="s">
        <v>873</v>
      </c>
      <c r="Q32" s="352" t="s">
        <v>1802</v>
      </c>
      <c r="R32" s="353">
        <v>2681119.875</v>
      </c>
      <c r="S32" s="354">
        <v>105000</v>
      </c>
      <c r="T32" s="355">
        <v>0.25</v>
      </c>
      <c r="U32" s="356">
        <v>26250</v>
      </c>
      <c r="V32" s="355">
        <v>0.25</v>
      </c>
      <c r="W32" s="356">
        <v>26250</v>
      </c>
      <c r="X32" s="355">
        <v>0.25</v>
      </c>
      <c r="Y32" s="356">
        <v>26250</v>
      </c>
      <c r="Z32" s="355">
        <v>0.25</v>
      </c>
      <c r="AA32" s="354">
        <v>26250</v>
      </c>
      <c r="AB32" s="354">
        <v>1</v>
      </c>
      <c r="AC32" s="354">
        <v>105000</v>
      </c>
      <c r="AD32" s="357"/>
      <c r="AE32" s="358" t="s">
        <v>1803</v>
      </c>
      <c r="AF32" s="346" t="s">
        <v>1885</v>
      </c>
      <c r="AG32" s="347"/>
      <c r="AH32" s="359" t="s">
        <v>1805</v>
      </c>
      <c r="AI32" s="347" t="s">
        <v>1886</v>
      </c>
      <c r="AJ32" s="347" t="s">
        <v>561</v>
      </c>
      <c r="AK32" s="748" t="s">
        <v>1887</v>
      </c>
      <c r="AL32" s="111"/>
    </row>
    <row r="33" spans="1:38" ht="13.5" hidden="1" customHeight="1">
      <c r="A33" s="342" t="s">
        <v>1904</v>
      </c>
      <c r="B33" s="342" t="s">
        <v>1794</v>
      </c>
      <c r="C33" s="342" t="s">
        <v>1795</v>
      </c>
      <c r="D33" s="342" t="s">
        <v>1860</v>
      </c>
      <c r="E33" s="342" t="s">
        <v>1905</v>
      </c>
      <c r="F33" s="361">
        <v>47</v>
      </c>
      <c r="G33" s="344" t="s">
        <v>508</v>
      </c>
      <c r="H33" s="345" t="s">
        <v>573</v>
      </c>
      <c r="I33" s="346" t="s">
        <v>1905</v>
      </c>
      <c r="J33" s="347" t="s">
        <v>1862</v>
      </c>
      <c r="K33" s="348" t="s">
        <v>1798</v>
      </c>
      <c r="L33" s="349" t="s">
        <v>1799</v>
      </c>
      <c r="M33" s="349" t="s">
        <v>1800</v>
      </c>
      <c r="N33" s="348" t="s">
        <v>1801</v>
      </c>
      <c r="O33" s="350" t="s">
        <v>789</v>
      </c>
      <c r="P33" s="351" t="s">
        <v>873</v>
      </c>
      <c r="Q33" s="352" t="s">
        <v>1802</v>
      </c>
      <c r="R33" s="353">
        <v>536250</v>
      </c>
      <c r="S33" s="354">
        <v>21001.019210302933</v>
      </c>
      <c r="T33" s="355">
        <v>0.25</v>
      </c>
      <c r="U33" s="356">
        <v>5250.2548025757333</v>
      </c>
      <c r="V33" s="355">
        <v>0.25</v>
      </c>
      <c r="W33" s="356">
        <v>5250.2548025757333</v>
      </c>
      <c r="X33" s="355">
        <v>0.25</v>
      </c>
      <c r="Y33" s="356">
        <v>5250.2548025757333</v>
      </c>
      <c r="Z33" s="355">
        <v>0.25</v>
      </c>
      <c r="AA33" s="354">
        <v>5250.2548025757333</v>
      </c>
      <c r="AB33" s="354">
        <v>1</v>
      </c>
      <c r="AC33" s="354">
        <v>21001.019210302933</v>
      </c>
      <c r="AD33" s="357"/>
      <c r="AE33" s="358" t="s">
        <v>1803</v>
      </c>
      <c r="AF33" s="346" t="s">
        <v>1885</v>
      </c>
      <c r="AG33" s="347"/>
      <c r="AH33" s="359" t="s">
        <v>1805</v>
      </c>
      <c r="AI33" s="347" t="s">
        <v>1886</v>
      </c>
      <c r="AJ33" s="347" t="s">
        <v>561</v>
      </c>
      <c r="AK33" s="748" t="s">
        <v>1887</v>
      </c>
      <c r="AL33" s="111"/>
    </row>
    <row r="34" spans="1:38" ht="13.5" hidden="1" customHeight="1">
      <c r="A34" s="342" t="s">
        <v>1906</v>
      </c>
      <c r="B34" s="342" t="s">
        <v>1794</v>
      </c>
      <c r="C34" s="342" t="s">
        <v>1795</v>
      </c>
      <c r="D34" s="342" t="s">
        <v>1907</v>
      </c>
      <c r="E34" s="342" t="s">
        <v>1908</v>
      </c>
      <c r="F34" s="361">
        <v>48</v>
      </c>
      <c r="G34" s="344" t="s">
        <v>508</v>
      </c>
      <c r="H34" s="345" t="s">
        <v>573</v>
      </c>
      <c r="I34" s="346" t="s">
        <v>1908</v>
      </c>
      <c r="J34" s="347" t="s">
        <v>1909</v>
      </c>
      <c r="K34" s="348" t="s">
        <v>1798</v>
      </c>
      <c r="L34" s="349" t="s">
        <v>1799</v>
      </c>
      <c r="M34" s="349" t="s">
        <v>1800</v>
      </c>
      <c r="N34" s="348" t="s">
        <v>1801</v>
      </c>
      <c r="O34" s="350" t="s">
        <v>789</v>
      </c>
      <c r="P34" s="351" t="s">
        <v>873</v>
      </c>
      <c r="Q34" s="352" t="s">
        <v>1802</v>
      </c>
      <c r="R34" s="353">
        <v>130800</v>
      </c>
      <c r="S34" s="354">
        <v>5122.4863640235408</v>
      </c>
      <c r="T34" s="355">
        <v>0.25</v>
      </c>
      <c r="U34" s="356">
        <v>1280.6215910058852</v>
      </c>
      <c r="V34" s="355">
        <v>0.25</v>
      </c>
      <c r="W34" s="356">
        <v>1280.6215910058852</v>
      </c>
      <c r="X34" s="355">
        <v>0.25</v>
      </c>
      <c r="Y34" s="356">
        <v>1280.6215910058852</v>
      </c>
      <c r="Z34" s="355">
        <v>0.25</v>
      </c>
      <c r="AA34" s="354">
        <v>1280.6215910058852</v>
      </c>
      <c r="AB34" s="354">
        <v>1</v>
      </c>
      <c r="AC34" s="354">
        <v>5122.4863640235408</v>
      </c>
      <c r="AD34" s="357"/>
      <c r="AE34" s="358" t="s">
        <v>1803</v>
      </c>
      <c r="AF34" s="346" t="s">
        <v>1885</v>
      </c>
      <c r="AG34" s="347"/>
      <c r="AH34" s="359" t="s">
        <v>1805</v>
      </c>
      <c r="AI34" s="347" t="s">
        <v>1886</v>
      </c>
      <c r="AJ34" s="347" t="s">
        <v>561</v>
      </c>
      <c r="AK34" s="748" t="s">
        <v>1887</v>
      </c>
      <c r="AL34" s="111"/>
    </row>
    <row r="35" spans="1:38" ht="13.5" hidden="1" customHeight="1">
      <c r="A35" s="362" t="s">
        <v>1910</v>
      </c>
      <c r="B35" s="362" t="s">
        <v>1794</v>
      </c>
      <c r="C35" s="362" t="s">
        <v>1795</v>
      </c>
      <c r="D35" s="362" t="s">
        <v>1869</v>
      </c>
      <c r="E35" s="362" t="s">
        <v>1911</v>
      </c>
      <c r="F35" s="396">
        <v>49</v>
      </c>
      <c r="G35" s="364" t="s">
        <v>508</v>
      </c>
      <c r="H35" s="365" t="s">
        <v>573</v>
      </c>
      <c r="I35" s="366" t="s">
        <v>1911</v>
      </c>
      <c r="J35" s="367" t="s">
        <v>1392</v>
      </c>
      <c r="K35" s="368" t="s">
        <v>1798</v>
      </c>
      <c r="L35" s="369" t="s">
        <v>1799</v>
      </c>
      <c r="M35" s="369" t="s">
        <v>1800</v>
      </c>
      <c r="N35" s="368" t="s">
        <v>1801</v>
      </c>
      <c r="O35" s="370" t="s">
        <v>789</v>
      </c>
      <c r="P35" s="371" t="s">
        <v>873</v>
      </c>
      <c r="Q35" s="372" t="s">
        <v>1802</v>
      </c>
      <c r="R35" s="373">
        <v>579800</v>
      </c>
      <c r="S35" s="374">
        <v>22706.556527988141</v>
      </c>
      <c r="T35" s="375">
        <v>0.25</v>
      </c>
      <c r="U35" s="376">
        <v>5676.6391319970353</v>
      </c>
      <c r="V35" s="375">
        <v>0.25</v>
      </c>
      <c r="W35" s="376">
        <v>5676.6391319970353</v>
      </c>
      <c r="X35" s="375">
        <v>0.25</v>
      </c>
      <c r="Y35" s="376">
        <v>5676.6391319970353</v>
      </c>
      <c r="Z35" s="375">
        <v>0.25</v>
      </c>
      <c r="AA35" s="374">
        <v>5676.6391319970353</v>
      </c>
      <c r="AB35" s="374">
        <v>1</v>
      </c>
      <c r="AC35" s="374">
        <v>22706.556527988141</v>
      </c>
      <c r="AD35" s="377"/>
      <c r="AE35" s="378" t="s">
        <v>1803</v>
      </c>
      <c r="AF35" s="366" t="s">
        <v>1885</v>
      </c>
      <c r="AG35" s="347"/>
      <c r="AH35" s="359" t="s">
        <v>1805</v>
      </c>
      <c r="AI35" s="347" t="s">
        <v>1886</v>
      </c>
      <c r="AJ35" s="347" t="s">
        <v>561</v>
      </c>
      <c r="AK35" s="748" t="s">
        <v>1887</v>
      </c>
      <c r="AL35" s="111"/>
    </row>
    <row r="36" spans="1:38" ht="13.5" hidden="1" customHeight="1">
      <c r="A36" s="380" t="s">
        <v>1912</v>
      </c>
      <c r="B36" s="380" t="s">
        <v>1794</v>
      </c>
      <c r="C36" s="380" t="s">
        <v>1795</v>
      </c>
      <c r="D36" s="380" t="s">
        <v>1796</v>
      </c>
      <c r="E36" s="380" t="s">
        <v>1913</v>
      </c>
      <c r="F36" s="381">
        <v>50</v>
      </c>
      <c r="G36" s="382" t="s">
        <v>508</v>
      </c>
      <c r="H36" s="743" t="s">
        <v>603</v>
      </c>
      <c r="I36" s="383" t="s">
        <v>1913</v>
      </c>
      <c r="J36" s="744" t="s">
        <v>875</v>
      </c>
      <c r="K36" s="384" t="s">
        <v>1798</v>
      </c>
      <c r="L36" s="385" t="s">
        <v>1799</v>
      </c>
      <c r="M36" s="385" t="s">
        <v>1800</v>
      </c>
      <c r="N36" s="384" t="s">
        <v>1801</v>
      </c>
      <c r="O36" s="386" t="s">
        <v>1133</v>
      </c>
      <c r="P36" s="387" t="s">
        <v>873</v>
      </c>
      <c r="Q36" s="388" t="s">
        <v>1802</v>
      </c>
      <c r="R36" s="389">
        <v>1372915.8740000003</v>
      </c>
      <c r="S36" s="390">
        <v>53767.147121685499</v>
      </c>
      <c r="T36" s="391">
        <v>0.25</v>
      </c>
      <c r="U36" s="392">
        <v>13441.786780421375</v>
      </c>
      <c r="V36" s="391">
        <v>0.25</v>
      </c>
      <c r="W36" s="392">
        <v>13441.786780421375</v>
      </c>
      <c r="X36" s="391">
        <v>0.25</v>
      </c>
      <c r="Y36" s="392">
        <v>13441.786780421375</v>
      </c>
      <c r="Z36" s="391">
        <v>0.25</v>
      </c>
      <c r="AA36" s="390">
        <v>13441.786780421375</v>
      </c>
      <c r="AB36" s="390">
        <v>1</v>
      </c>
      <c r="AC36" s="390">
        <v>53767.147121685499</v>
      </c>
      <c r="AD36" s="393"/>
      <c r="AE36" s="394" t="s">
        <v>1803</v>
      </c>
      <c r="AF36" s="383" t="s">
        <v>1914</v>
      </c>
      <c r="AG36" s="347"/>
      <c r="AH36" s="359" t="s">
        <v>1805</v>
      </c>
      <c r="AI36" s="347" t="s">
        <v>1886</v>
      </c>
      <c r="AJ36" s="347" t="s">
        <v>561</v>
      </c>
      <c r="AK36" s="417" t="s">
        <v>1915</v>
      </c>
      <c r="AL36" s="182" t="s">
        <v>1916</v>
      </c>
    </row>
    <row r="37" spans="1:38" ht="13.5" hidden="1" customHeight="1">
      <c r="A37" s="342" t="s">
        <v>1917</v>
      </c>
      <c r="B37" s="342" t="s">
        <v>1794</v>
      </c>
      <c r="C37" s="342" t="s">
        <v>1795</v>
      </c>
      <c r="D37" s="342" t="s">
        <v>1809</v>
      </c>
      <c r="E37" s="342" t="s">
        <v>1918</v>
      </c>
      <c r="F37" s="361">
        <v>51</v>
      </c>
      <c r="G37" s="344" t="s">
        <v>508</v>
      </c>
      <c r="H37" s="345" t="s">
        <v>603</v>
      </c>
      <c r="I37" s="346" t="s">
        <v>1918</v>
      </c>
      <c r="J37" s="347" t="s">
        <v>977</v>
      </c>
      <c r="K37" s="348" t="s">
        <v>1798</v>
      </c>
      <c r="L37" s="349" t="s">
        <v>1799</v>
      </c>
      <c r="M37" s="349" t="s">
        <v>1800</v>
      </c>
      <c r="N37" s="348" t="s">
        <v>1801</v>
      </c>
      <c r="O37" s="350" t="s">
        <v>961</v>
      </c>
      <c r="P37" s="351" t="s">
        <v>873</v>
      </c>
      <c r="Q37" s="352" t="s">
        <v>1802</v>
      </c>
      <c r="R37" s="353">
        <v>10203576.520000001</v>
      </c>
      <c r="S37" s="354">
        <v>399600.01214044937</v>
      </c>
      <c r="T37" s="355">
        <v>0.25</v>
      </c>
      <c r="U37" s="356">
        <v>99900.003035112342</v>
      </c>
      <c r="V37" s="355">
        <v>0.25</v>
      </c>
      <c r="W37" s="356">
        <v>99900.003035112342</v>
      </c>
      <c r="X37" s="355">
        <v>0.25</v>
      </c>
      <c r="Y37" s="356">
        <v>99900.003035112342</v>
      </c>
      <c r="Z37" s="355">
        <v>0.25</v>
      </c>
      <c r="AA37" s="354">
        <v>99900.003035112342</v>
      </c>
      <c r="AB37" s="354">
        <v>1</v>
      </c>
      <c r="AC37" s="354">
        <v>399600.01214044937</v>
      </c>
      <c r="AD37" s="357"/>
      <c r="AE37" s="358" t="s">
        <v>1803</v>
      </c>
      <c r="AF37" s="346" t="s">
        <v>1914</v>
      </c>
      <c r="AG37" s="347"/>
      <c r="AH37" s="359" t="s">
        <v>1805</v>
      </c>
      <c r="AI37" s="347" t="s">
        <v>1886</v>
      </c>
      <c r="AJ37" s="347" t="s">
        <v>561</v>
      </c>
      <c r="AK37" s="417" t="s">
        <v>1915</v>
      </c>
      <c r="AL37" s="111"/>
    </row>
    <row r="38" spans="1:38" ht="13.5" hidden="1" customHeight="1">
      <c r="A38" s="342" t="s">
        <v>1919</v>
      </c>
      <c r="B38" s="342" t="s">
        <v>1794</v>
      </c>
      <c r="C38" s="342" t="s">
        <v>1795</v>
      </c>
      <c r="D38" s="342" t="s">
        <v>1812</v>
      </c>
      <c r="E38" s="342" t="s">
        <v>1920</v>
      </c>
      <c r="F38" s="343">
        <v>52</v>
      </c>
      <c r="G38" s="344" t="s">
        <v>508</v>
      </c>
      <c r="H38" s="345" t="s">
        <v>603</v>
      </c>
      <c r="I38" s="346" t="s">
        <v>1920</v>
      </c>
      <c r="J38" s="347" t="s">
        <v>881</v>
      </c>
      <c r="K38" s="348" t="s">
        <v>1798</v>
      </c>
      <c r="L38" s="349" t="s">
        <v>1799</v>
      </c>
      <c r="M38" s="349" t="s">
        <v>1800</v>
      </c>
      <c r="N38" s="348" t="s">
        <v>1801</v>
      </c>
      <c r="O38" s="350" t="s">
        <v>964</v>
      </c>
      <c r="P38" s="351" t="s">
        <v>873</v>
      </c>
      <c r="Q38" s="352" t="s">
        <v>1802</v>
      </c>
      <c r="R38" s="353">
        <v>2059373.0610000002</v>
      </c>
      <c r="S38" s="354">
        <v>80650.691310473398</v>
      </c>
      <c r="T38" s="355">
        <v>0.25</v>
      </c>
      <c r="U38" s="356">
        <v>20162.672827618349</v>
      </c>
      <c r="V38" s="355">
        <v>0.25</v>
      </c>
      <c r="W38" s="356">
        <v>20162.672827618349</v>
      </c>
      <c r="X38" s="355">
        <v>0.25</v>
      </c>
      <c r="Y38" s="356">
        <v>20162.672827618349</v>
      </c>
      <c r="Z38" s="355">
        <v>0.25</v>
      </c>
      <c r="AA38" s="354">
        <v>20162.672827618349</v>
      </c>
      <c r="AB38" s="354">
        <v>1</v>
      </c>
      <c r="AC38" s="354">
        <v>80650.691310473398</v>
      </c>
      <c r="AD38" s="357"/>
      <c r="AE38" s="358" t="s">
        <v>1803</v>
      </c>
      <c r="AF38" s="346" t="s">
        <v>1914</v>
      </c>
      <c r="AG38" s="347"/>
      <c r="AH38" s="359" t="s">
        <v>1805</v>
      </c>
      <c r="AI38" s="347" t="s">
        <v>1886</v>
      </c>
      <c r="AJ38" s="347" t="s">
        <v>561</v>
      </c>
      <c r="AK38" s="417" t="s">
        <v>1915</v>
      </c>
      <c r="AL38" s="111"/>
    </row>
    <row r="39" spans="1:38" ht="13.5" hidden="1" customHeight="1">
      <c r="A39" s="342" t="s">
        <v>1921</v>
      </c>
      <c r="B39" s="342" t="s">
        <v>1794</v>
      </c>
      <c r="C39" s="342" t="s">
        <v>1795</v>
      </c>
      <c r="D39" s="342" t="s">
        <v>1895</v>
      </c>
      <c r="E39" s="342" t="s">
        <v>661</v>
      </c>
      <c r="F39" s="361">
        <v>53</v>
      </c>
      <c r="G39" s="344" t="s">
        <v>508</v>
      </c>
      <c r="H39" s="345" t="s">
        <v>603</v>
      </c>
      <c r="I39" s="346" t="s">
        <v>661</v>
      </c>
      <c r="J39" s="347" t="s">
        <v>994</v>
      </c>
      <c r="K39" s="348" t="s">
        <v>1798</v>
      </c>
      <c r="L39" s="349" t="s">
        <v>1799</v>
      </c>
      <c r="M39" s="349" t="s">
        <v>1800</v>
      </c>
      <c r="N39" s="348" t="s">
        <v>1801</v>
      </c>
      <c r="O39" s="350" t="s">
        <v>789</v>
      </c>
      <c r="P39" s="351" t="s">
        <v>873</v>
      </c>
      <c r="Q39" s="352" t="s">
        <v>1802</v>
      </c>
      <c r="R39" s="353">
        <v>218320.00750000001</v>
      </c>
      <c r="S39" s="354">
        <v>8550.0096438246728</v>
      </c>
      <c r="T39" s="355">
        <v>0.25</v>
      </c>
      <c r="U39" s="356">
        <v>2137.5024109561682</v>
      </c>
      <c r="V39" s="355">
        <v>0.25</v>
      </c>
      <c r="W39" s="356">
        <v>2137.5024109561682</v>
      </c>
      <c r="X39" s="355">
        <v>0.25</v>
      </c>
      <c r="Y39" s="356">
        <v>2137.5024109561682</v>
      </c>
      <c r="Z39" s="355">
        <v>0.25</v>
      </c>
      <c r="AA39" s="354">
        <v>2137.5024109561682</v>
      </c>
      <c r="AB39" s="354">
        <v>1</v>
      </c>
      <c r="AC39" s="354">
        <v>8550.0096438246728</v>
      </c>
      <c r="AD39" s="357"/>
      <c r="AE39" s="358" t="s">
        <v>1803</v>
      </c>
      <c r="AF39" s="346" t="s">
        <v>1914</v>
      </c>
      <c r="AG39" s="347"/>
      <c r="AH39" s="359" t="s">
        <v>1805</v>
      </c>
      <c r="AI39" s="347" t="s">
        <v>1886</v>
      </c>
      <c r="AJ39" s="347" t="s">
        <v>561</v>
      </c>
      <c r="AK39" s="417" t="s">
        <v>1915</v>
      </c>
      <c r="AL39" s="111"/>
    </row>
    <row r="40" spans="1:38" ht="13.5" hidden="1" customHeight="1">
      <c r="A40" s="342" t="s">
        <v>1922</v>
      </c>
      <c r="B40" s="342" t="s">
        <v>1794</v>
      </c>
      <c r="C40" s="342" t="s">
        <v>1795</v>
      </c>
      <c r="D40" s="342" t="s">
        <v>1923</v>
      </c>
      <c r="E40" s="342" t="s">
        <v>1924</v>
      </c>
      <c r="F40" s="361">
        <v>54</v>
      </c>
      <c r="G40" s="344" t="s">
        <v>508</v>
      </c>
      <c r="H40" s="345" t="s">
        <v>603</v>
      </c>
      <c r="I40" s="346" t="s">
        <v>1924</v>
      </c>
      <c r="J40" s="347" t="s">
        <v>950</v>
      </c>
      <c r="K40" s="348" t="s">
        <v>1798</v>
      </c>
      <c r="L40" s="349" t="s">
        <v>1799</v>
      </c>
      <c r="M40" s="349" t="s">
        <v>1800</v>
      </c>
      <c r="N40" s="348" t="s">
        <v>1801</v>
      </c>
      <c r="O40" s="350" t="s">
        <v>951</v>
      </c>
      <c r="P40" s="351" t="s">
        <v>873</v>
      </c>
      <c r="Q40" s="352" t="s">
        <v>1802</v>
      </c>
      <c r="R40" s="353">
        <v>3039758.8</v>
      </c>
      <c r="S40" s="354">
        <v>119045.28289694618</v>
      </c>
      <c r="T40" s="355">
        <v>0.25</v>
      </c>
      <c r="U40" s="356">
        <v>29761.320724236546</v>
      </c>
      <c r="V40" s="355">
        <v>0.25</v>
      </c>
      <c r="W40" s="356">
        <v>29761.320724236546</v>
      </c>
      <c r="X40" s="355">
        <v>0.25</v>
      </c>
      <c r="Y40" s="356">
        <v>29761.320724236546</v>
      </c>
      <c r="Z40" s="355">
        <v>0.25</v>
      </c>
      <c r="AA40" s="354">
        <v>29761.320724236546</v>
      </c>
      <c r="AB40" s="354">
        <v>1</v>
      </c>
      <c r="AC40" s="354">
        <v>119045.28289694618</v>
      </c>
      <c r="AD40" s="357"/>
      <c r="AE40" s="358" t="s">
        <v>1803</v>
      </c>
      <c r="AF40" s="346" t="s">
        <v>1914</v>
      </c>
      <c r="AG40" s="347"/>
      <c r="AH40" s="359" t="s">
        <v>1805</v>
      </c>
      <c r="AI40" s="347" t="s">
        <v>1886</v>
      </c>
      <c r="AJ40" s="347" t="s">
        <v>561</v>
      </c>
      <c r="AK40" s="417" t="s">
        <v>1915</v>
      </c>
      <c r="AL40" s="111"/>
    </row>
    <row r="41" spans="1:38" ht="13.5" hidden="1" customHeight="1">
      <c r="A41" s="342" t="s">
        <v>1925</v>
      </c>
      <c r="B41" s="342" t="s">
        <v>1794</v>
      </c>
      <c r="C41" s="342" t="s">
        <v>1795</v>
      </c>
      <c r="D41" s="342" t="s">
        <v>1819</v>
      </c>
      <c r="E41" s="342" t="s">
        <v>1926</v>
      </c>
      <c r="F41" s="343">
        <v>55</v>
      </c>
      <c r="G41" s="344" t="s">
        <v>508</v>
      </c>
      <c r="H41" s="345" t="s">
        <v>603</v>
      </c>
      <c r="I41" s="346" t="s">
        <v>1926</v>
      </c>
      <c r="J41" s="347" t="s">
        <v>877</v>
      </c>
      <c r="K41" s="348" t="s">
        <v>1798</v>
      </c>
      <c r="L41" s="349" t="s">
        <v>1799</v>
      </c>
      <c r="M41" s="349" t="s">
        <v>1800</v>
      </c>
      <c r="N41" s="348" t="s">
        <v>1801</v>
      </c>
      <c r="O41" s="350" t="s">
        <v>789</v>
      </c>
      <c r="P41" s="351" t="s">
        <v>873</v>
      </c>
      <c r="Q41" s="352" t="s">
        <v>1802</v>
      </c>
      <c r="R41" s="353">
        <v>57452.712500000001</v>
      </c>
      <c r="S41" s="354">
        <v>2250.0056296438443</v>
      </c>
      <c r="T41" s="355">
        <v>0.25</v>
      </c>
      <c r="U41" s="356">
        <v>562.50140741096106</v>
      </c>
      <c r="V41" s="355">
        <v>0.25</v>
      </c>
      <c r="W41" s="356">
        <v>562.50140741096106</v>
      </c>
      <c r="X41" s="355">
        <v>0.25</v>
      </c>
      <c r="Y41" s="356">
        <v>562.50140741096106</v>
      </c>
      <c r="Z41" s="355">
        <v>0.25</v>
      </c>
      <c r="AA41" s="354">
        <v>562.50140741096106</v>
      </c>
      <c r="AB41" s="354">
        <v>1</v>
      </c>
      <c r="AC41" s="354">
        <v>2250.0056296438443</v>
      </c>
      <c r="AD41" s="357"/>
      <c r="AE41" s="358" t="s">
        <v>1803</v>
      </c>
      <c r="AF41" s="346" t="s">
        <v>1914</v>
      </c>
      <c r="AG41" s="347"/>
      <c r="AH41" s="359" t="s">
        <v>1805</v>
      </c>
      <c r="AI41" s="347" t="s">
        <v>1886</v>
      </c>
      <c r="AJ41" s="347" t="s">
        <v>561</v>
      </c>
      <c r="AK41" s="417" t="s">
        <v>1915</v>
      </c>
      <c r="AL41" s="111"/>
    </row>
    <row r="42" spans="1:38" ht="13.5" hidden="1" customHeight="1">
      <c r="A42" s="362" t="s">
        <v>1927</v>
      </c>
      <c r="B42" s="362" t="s">
        <v>1794</v>
      </c>
      <c r="C42" s="362" t="s">
        <v>1795</v>
      </c>
      <c r="D42" s="362" t="s">
        <v>1865</v>
      </c>
      <c r="E42" s="362" t="s">
        <v>1928</v>
      </c>
      <c r="F42" s="363">
        <v>56</v>
      </c>
      <c r="G42" s="364" t="s">
        <v>508</v>
      </c>
      <c r="H42" s="365" t="s">
        <v>603</v>
      </c>
      <c r="I42" s="366" t="s">
        <v>1928</v>
      </c>
      <c r="J42" s="367" t="s">
        <v>848</v>
      </c>
      <c r="K42" s="368" t="s">
        <v>1798</v>
      </c>
      <c r="L42" s="369" t="s">
        <v>1799</v>
      </c>
      <c r="M42" s="369" t="s">
        <v>1800</v>
      </c>
      <c r="N42" s="368" t="s">
        <v>1801</v>
      </c>
      <c r="O42" s="370" t="s">
        <v>947</v>
      </c>
      <c r="P42" s="371" t="s">
        <v>873</v>
      </c>
      <c r="Q42" s="372" t="s">
        <v>1802</v>
      </c>
      <c r="R42" s="373">
        <v>210048.2</v>
      </c>
      <c r="S42" s="374">
        <v>8226.0629991413571</v>
      </c>
      <c r="T42" s="375">
        <v>0.25</v>
      </c>
      <c r="U42" s="376">
        <v>2056.5157497853393</v>
      </c>
      <c r="V42" s="375">
        <v>0.25</v>
      </c>
      <c r="W42" s="376">
        <v>2056.5157497853393</v>
      </c>
      <c r="X42" s="375">
        <v>0.25</v>
      </c>
      <c r="Y42" s="376">
        <v>2056.5157497853393</v>
      </c>
      <c r="Z42" s="375">
        <v>0.25</v>
      </c>
      <c r="AA42" s="374">
        <v>2056.5157497853393</v>
      </c>
      <c r="AB42" s="374">
        <v>1</v>
      </c>
      <c r="AC42" s="374">
        <v>8226.0629991413571</v>
      </c>
      <c r="AD42" s="377"/>
      <c r="AE42" s="378" t="s">
        <v>1803</v>
      </c>
      <c r="AF42" s="366" t="s">
        <v>1914</v>
      </c>
      <c r="AG42" s="347"/>
      <c r="AH42" s="359" t="s">
        <v>1805</v>
      </c>
      <c r="AI42" s="347" t="s">
        <v>1886</v>
      </c>
      <c r="AJ42" s="347" t="s">
        <v>561</v>
      </c>
      <c r="AK42" s="417" t="s">
        <v>1915</v>
      </c>
      <c r="AL42" s="111"/>
    </row>
    <row r="43" spans="1:38" ht="13.5" hidden="1" customHeight="1">
      <c r="A43" s="380" t="s">
        <v>1929</v>
      </c>
      <c r="B43" s="380" t="s">
        <v>1794</v>
      </c>
      <c r="C43" s="380" t="s">
        <v>1795</v>
      </c>
      <c r="D43" s="380" t="s">
        <v>1930</v>
      </c>
      <c r="E43" s="380" t="s">
        <v>1931</v>
      </c>
      <c r="F43" s="418">
        <v>57</v>
      </c>
      <c r="G43" s="419" t="s">
        <v>508</v>
      </c>
      <c r="H43" s="749" t="s">
        <v>603</v>
      </c>
      <c r="I43" s="420" t="s">
        <v>1931</v>
      </c>
      <c r="J43" s="421" t="s">
        <v>809</v>
      </c>
      <c r="K43" s="384" t="s">
        <v>1798</v>
      </c>
      <c r="L43" s="385" t="s">
        <v>1799</v>
      </c>
      <c r="M43" s="385" t="s">
        <v>1800</v>
      </c>
      <c r="N43" s="384" t="s">
        <v>1801</v>
      </c>
      <c r="O43" s="386" t="s">
        <v>791</v>
      </c>
      <c r="P43" s="387" t="s">
        <v>873</v>
      </c>
      <c r="Q43" s="388" t="s">
        <v>1802</v>
      </c>
      <c r="R43" s="389">
        <v>128413.80000000002</v>
      </c>
      <c r="S43" s="390">
        <v>5029.0362343459192</v>
      </c>
      <c r="T43" s="391">
        <v>0.25</v>
      </c>
      <c r="U43" s="392">
        <v>1257.2590585864798</v>
      </c>
      <c r="V43" s="391">
        <v>0.25</v>
      </c>
      <c r="W43" s="392">
        <v>1257.2590585864798</v>
      </c>
      <c r="X43" s="391">
        <v>0.25</v>
      </c>
      <c r="Y43" s="392">
        <v>1257.2590585864798</v>
      </c>
      <c r="Z43" s="391">
        <v>0.25</v>
      </c>
      <c r="AA43" s="390">
        <v>1257.2590585864798</v>
      </c>
      <c r="AB43" s="390">
        <v>1</v>
      </c>
      <c r="AC43" s="390">
        <v>5029.0362343459192</v>
      </c>
      <c r="AD43" s="393"/>
      <c r="AE43" s="394" t="s">
        <v>1803</v>
      </c>
      <c r="AF43" s="383" t="s">
        <v>1932</v>
      </c>
      <c r="AG43" s="347"/>
      <c r="AH43" s="359" t="s">
        <v>1805</v>
      </c>
      <c r="AI43" s="399" t="s">
        <v>1856</v>
      </c>
      <c r="AJ43" s="400" t="s">
        <v>561</v>
      </c>
      <c r="AK43" s="347" t="s">
        <v>1933</v>
      </c>
      <c r="AL43" s="111" t="s">
        <v>1934</v>
      </c>
    </row>
    <row r="44" spans="1:38" ht="13.5" hidden="1" customHeight="1">
      <c r="A44" s="342" t="s">
        <v>1935</v>
      </c>
      <c r="B44" s="342" t="s">
        <v>1794</v>
      </c>
      <c r="C44" s="342" t="s">
        <v>1795</v>
      </c>
      <c r="D44" s="342" t="s">
        <v>1865</v>
      </c>
      <c r="E44" s="342" t="s">
        <v>1936</v>
      </c>
      <c r="F44" s="404">
        <v>58</v>
      </c>
      <c r="G44" s="405" t="s">
        <v>508</v>
      </c>
      <c r="H44" s="406" t="s">
        <v>603</v>
      </c>
      <c r="I44" s="323" t="s">
        <v>1936</v>
      </c>
      <c r="J44" s="407" t="s">
        <v>848</v>
      </c>
      <c r="K44" s="348" t="s">
        <v>1798</v>
      </c>
      <c r="L44" s="349" t="s">
        <v>1799</v>
      </c>
      <c r="M44" s="349" t="s">
        <v>1800</v>
      </c>
      <c r="N44" s="348" t="s">
        <v>1801</v>
      </c>
      <c r="O44" s="350" t="s">
        <v>947</v>
      </c>
      <c r="P44" s="351" t="s">
        <v>873</v>
      </c>
      <c r="Q44" s="352" t="s">
        <v>1802</v>
      </c>
      <c r="R44" s="353">
        <v>166705.00000000003</v>
      </c>
      <c r="S44" s="354">
        <v>6528.6245360439179</v>
      </c>
      <c r="T44" s="355">
        <v>0.25</v>
      </c>
      <c r="U44" s="356">
        <v>1632.1561340109795</v>
      </c>
      <c r="V44" s="355">
        <v>0.25</v>
      </c>
      <c r="W44" s="356">
        <v>1632.1561340109795</v>
      </c>
      <c r="X44" s="355">
        <v>0.25</v>
      </c>
      <c r="Y44" s="356">
        <v>1632.1561340109795</v>
      </c>
      <c r="Z44" s="355">
        <v>0.25</v>
      </c>
      <c r="AA44" s="354">
        <v>1632.1561340109795</v>
      </c>
      <c r="AB44" s="354">
        <v>1</v>
      </c>
      <c r="AC44" s="354">
        <v>6528.6245360439179</v>
      </c>
      <c r="AD44" s="357"/>
      <c r="AE44" s="358" t="s">
        <v>1803</v>
      </c>
      <c r="AF44" s="346" t="s">
        <v>1937</v>
      </c>
      <c r="AG44" s="347"/>
      <c r="AH44" s="359" t="s">
        <v>1805</v>
      </c>
      <c r="AI44" s="399" t="s">
        <v>1856</v>
      </c>
      <c r="AJ44" s="400" t="s">
        <v>561</v>
      </c>
      <c r="AK44" s="347" t="s">
        <v>1938</v>
      </c>
      <c r="AL44" s="111" t="s">
        <v>1934</v>
      </c>
    </row>
    <row r="45" spans="1:38" ht="13.5" hidden="1" customHeight="1">
      <c r="A45" s="362" t="s">
        <v>1939</v>
      </c>
      <c r="B45" s="362" t="s">
        <v>1794</v>
      </c>
      <c r="C45" s="362" t="s">
        <v>1795</v>
      </c>
      <c r="D45" s="362" t="s">
        <v>1940</v>
      </c>
      <c r="E45" s="362" t="s">
        <v>590</v>
      </c>
      <c r="F45" s="411">
        <v>59</v>
      </c>
      <c r="G45" s="412" t="s">
        <v>508</v>
      </c>
      <c r="H45" s="413" t="s">
        <v>589</v>
      </c>
      <c r="I45" s="414" t="s">
        <v>590</v>
      </c>
      <c r="J45" s="415" t="s">
        <v>1941</v>
      </c>
      <c r="K45" s="368" t="s">
        <v>1798</v>
      </c>
      <c r="L45" s="369" t="s">
        <v>1799</v>
      </c>
      <c r="M45" s="369" t="s">
        <v>1800</v>
      </c>
      <c r="N45" s="368" t="s">
        <v>1801</v>
      </c>
      <c r="O45" s="370" t="s">
        <v>1942</v>
      </c>
      <c r="P45" s="371" t="s">
        <v>873</v>
      </c>
      <c r="Q45" s="372" t="s">
        <v>1802</v>
      </c>
      <c r="R45" s="373">
        <v>1915085.625</v>
      </c>
      <c r="S45" s="374">
        <v>75000</v>
      </c>
      <c r="T45" s="375">
        <v>0.25</v>
      </c>
      <c r="U45" s="376">
        <v>18750</v>
      </c>
      <c r="V45" s="375">
        <v>0.25</v>
      </c>
      <c r="W45" s="376">
        <v>18750</v>
      </c>
      <c r="X45" s="375">
        <v>0.25</v>
      </c>
      <c r="Y45" s="376">
        <v>18750</v>
      </c>
      <c r="Z45" s="375">
        <v>0.25</v>
      </c>
      <c r="AA45" s="374">
        <v>18750</v>
      </c>
      <c r="AB45" s="374">
        <v>1</v>
      </c>
      <c r="AC45" s="374">
        <v>75000</v>
      </c>
      <c r="AD45" s="377"/>
      <c r="AE45" s="378" t="s">
        <v>1803</v>
      </c>
      <c r="AF45" s="366" t="s">
        <v>1943</v>
      </c>
      <c r="AG45" s="367"/>
      <c r="AH45" s="379" t="s">
        <v>1805</v>
      </c>
      <c r="AI45" s="367" t="s">
        <v>1886</v>
      </c>
      <c r="AJ45" s="367" t="s">
        <v>561</v>
      </c>
      <c r="AK45" s="347" t="s">
        <v>185</v>
      </c>
      <c r="AL45" s="111" t="s">
        <v>1944</v>
      </c>
    </row>
    <row r="46" spans="1:38" ht="13.5" hidden="1" customHeight="1">
      <c r="A46" s="422" t="s">
        <v>1945</v>
      </c>
      <c r="B46" s="422" t="s">
        <v>1794</v>
      </c>
      <c r="C46" s="422" t="s">
        <v>1795</v>
      </c>
      <c r="D46" s="422" t="s">
        <v>1796</v>
      </c>
      <c r="E46" s="422" t="s">
        <v>1946</v>
      </c>
      <c r="F46" s="423">
        <v>61</v>
      </c>
      <c r="G46" s="424" t="s">
        <v>508</v>
      </c>
      <c r="H46" s="750" t="s">
        <v>603</v>
      </c>
      <c r="I46" s="425" t="s">
        <v>1946</v>
      </c>
      <c r="J46" s="747" t="s">
        <v>875</v>
      </c>
      <c r="K46" s="426" t="s">
        <v>1798</v>
      </c>
      <c r="L46" s="427" t="s">
        <v>1799</v>
      </c>
      <c r="M46" s="427" t="s">
        <v>1800</v>
      </c>
      <c r="N46" s="426" t="s">
        <v>1801</v>
      </c>
      <c r="O46" s="428"/>
      <c r="P46" s="429"/>
      <c r="Q46" s="430"/>
      <c r="R46" s="431"/>
      <c r="S46" s="432"/>
      <c r="T46" s="433"/>
      <c r="U46" s="434"/>
      <c r="V46" s="433"/>
      <c r="W46" s="434"/>
      <c r="X46" s="433"/>
      <c r="Y46" s="434"/>
      <c r="Z46" s="433"/>
      <c r="AA46" s="432"/>
      <c r="AB46" s="432"/>
      <c r="AC46" s="432"/>
      <c r="AD46" s="435"/>
      <c r="AE46" s="424"/>
      <c r="AF46" s="383" t="s">
        <v>1947</v>
      </c>
      <c r="AG46" s="747"/>
      <c r="AH46" s="751" t="s">
        <v>1805</v>
      </c>
      <c r="AI46" s="747"/>
      <c r="AJ46" s="747"/>
      <c r="AK46" s="347" t="s">
        <v>215</v>
      </c>
      <c r="AL46" s="111"/>
    </row>
    <row r="47" spans="1:38" ht="13.5" hidden="1" customHeight="1">
      <c r="A47" s="342" t="s">
        <v>1948</v>
      </c>
      <c r="B47" s="342" t="s">
        <v>1794</v>
      </c>
      <c r="C47" s="342" t="s">
        <v>1795</v>
      </c>
      <c r="D47" s="342" t="s">
        <v>1949</v>
      </c>
      <c r="E47" s="342" t="s">
        <v>1950</v>
      </c>
      <c r="F47" s="361">
        <v>62</v>
      </c>
      <c r="G47" s="344" t="s">
        <v>508</v>
      </c>
      <c r="H47" s="345" t="s">
        <v>603</v>
      </c>
      <c r="I47" s="346" t="s">
        <v>1950</v>
      </c>
      <c r="J47" s="347" t="s">
        <v>1000</v>
      </c>
      <c r="K47" s="348" t="s">
        <v>1798</v>
      </c>
      <c r="L47" s="349" t="s">
        <v>1799</v>
      </c>
      <c r="M47" s="349" t="s">
        <v>1800</v>
      </c>
      <c r="N47" s="348" t="s">
        <v>1801</v>
      </c>
      <c r="O47" s="350" t="s">
        <v>789</v>
      </c>
      <c r="P47" s="351" t="s">
        <v>873</v>
      </c>
      <c r="Q47" s="352" t="s">
        <v>1802</v>
      </c>
      <c r="R47" s="353">
        <v>26000</v>
      </c>
      <c r="S47" s="354">
        <v>1018.2312344389301</v>
      </c>
      <c r="T47" s="355">
        <v>0.25</v>
      </c>
      <c r="U47" s="356">
        <v>254.55780860973252</v>
      </c>
      <c r="V47" s="355">
        <v>0.25</v>
      </c>
      <c r="W47" s="356">
        <v>254.55780860973252</v>
      </c>
      <c r="X47" s="355">
        <v>0.25</v>
      </c>
      <c r="Y47" s="356">
        <v>254.55780860973252</v>
      </c>
      <c r="Z47" s="355">
        <v>0.25</v>
      </c>
      <c r="AA47" s="354">
        <v>254.55780860973252</v>
      </c>
      <c r="AB47" s="354">
        <v>1</v>
      </c>
      <c r="AC47" s="354">
        <v>1018.2312344389301</v>
      </c>
      <c r="AD47" s="357"/>
      <c r="AE47" s="358" t="s">
        <v>1803</v>
      </c>
      <c r="AF47" s="346" t="s">
        <v>1947</v>
      </c>
      <c r="AG47" s="347"/>
      <c r="AH47" s="359" t="s">
        <v>1805</v>
      </c>
      <c r="AI47" s="347" t="s">
        <v>1886</v>
      </c>
      <c r="AJ47" s="347" t="s">
        <v>561</v>
      </c>
      <c r="AK47" s="347" t="s">
        <v>215</v>
      </c>
      <c r="AL47" s="111"/>
    </row>
    <row r="48" spans="1:38" ht="13.5" hidden="1" customHeight="1">
      <c r="A48" s="436" t="s">
        <v>1951</v>
      </c>
      <c r="B48" s="436" t="s">
        <v>1794</v>
      </c>
      <c r="C48" s="436" t="s">
        <v>1795</v>
      </c>
      <c r="D48" s="436" t="s">
        <v>1812</v>
      </c>
      <c r="E48" s="436" t="s">
        <v>1952</v>
      </c>
      <c r="F48" s="437">
        <v>63</v>
      </c>
      <c r="G48" s="438" t="s">
        <v>508</v>
      </c>
      <c r="H48" s="439" t="s">
        <v>603</v>
      </c>
      <c r="I48" s="440" t="s">
        <v>1952</v>
      </c>
      <c r="J48" s="399" t="s">
        <v>881</v>
      </c>
      <c r="K48" s="441" t="s">
        <v>1798</v>
      </c>
      <c r="L48" s="442" t="s">
        <v>1799</v>
      </c>
      <c r="M48" s="442" t="s">
        <v>1800</v>
      </c>
      <c r="N48" s="441" t="s">
        <v>1801</v>
      </c>
      <c r="O48" s="443"/>
      <c r="P48" s="444"/>
      <c r="Q48" s="445"/>
      <c r="R48" s="446"/>
      <c r="S48" s="447"/>
      <c r="T48" s="448"/>
      <c r="U48" s="449"/>
      <c r="V48" s="448"/>
      <c r="W48" s="449"/>
      <c r="X48" s="448"/>
      <c r="Y48" s="449"/>
      <c r="Z48" s="448"/>
      <c r="AA48" s="447"/>
      <c r="AB48" s="447"/>
      <c r="AC48" s="447"/>
      <c r="AD48" s="450"/>
      <c r="AE48" s="438"/>
      <c r="AF48" s="346" t="s">
        <v>1947</v>
      </c>
      <c r="AG48" s="399"/>
      <c r="AH48" s="451" t="s">
        <v>1805</v>
      </c>
      <c r="AI48" s="399"/>
      <c r="AJ48" s="399"/>
      <c r="AK48" s="347" t="s">
        <v>215</v>
      </c>
      <c r="AL48" s="111"/>
    </row>
    <row r="49" spans="1:38" ht="13.5" hidden="1" customHeight="1">
      <c r="A49" s="342" t="s">
        <v>1953</v>
      </c>
      <c r="B49" s="342" t="s">
        <v>1794</v>
      </c>
      <c r="C49" s="342" t="s">
        <v>1795</v>
      </c>
      <c r="D49" s="342" t="s">
        <v>1923</v>
      </c>
      <c r="E49" s="342" t="s">
        <v>1950</v>
      </c>
      <c r="F49" s="343">
        <v>64</v>
      </c>
      <c r="G49" s="344" t="s">
        <v>508</v>
      </c>
      <c r="H49" s="345" t="s">
        <v>603</v>
      </c>
      <c r="I49" s="346" t="s">
        <v>1950</v>
      </c>
      <c r="J49" s="347" t="s">
        <v>950</v>
      </c>
      <c r="K49" s="348" t="s">
        <v>1798</v>
      </c>
      <c r="L49" s="349" t="s">
        <v>1799</v>
      </c>
      <c r="M49" s="349" t="s">
        <v>1800</v>
      </c>
      <c r="N49" s="348" t="s">
        <v>1801</v>
      </c>
      <c r="O49" s="350" t="s">
        <v>951</v>
      </c>
      <c r="P49" s="351" t="s">
        <v>873</v>
      </c>
      <c r="Q49" s="352" t="s">
        <v>1802</v>
      </c>
      <c r="R49" s="353">
        <v>986483.02500000002</v>
      </c>
      <c r="S49" s="354">
        <v>38633.378011492307</v>
      </c>
      <c r="T49" s="355">
        <v>0.25</v>
      </c>
      <c r="U49" s="356">
        <v>9658.3445028730766</v>
      </c>
      <c r="V49" s="355">
        <v>0.25</v>
      </c>
      <c r="W49" s="356">
        <v>9658.3445028730766</v>
      </c>
      <c r="X49" s="355">
        <v>0.25</v>
      </c>
      <c r="Y49" s="356">
        <v>9658.3445028730766</v>
      </c>
      <c r="Z49" s="355">
        <v>0.25</v>
      </c>
      <c r="AA49" s="354">
        <v>9658.3445028730766</v>
      </c>
      <c r="AB49" s="354">
        <v>1</v>
      </c>
      <c r="AC49" s="354">
        <v>38633.378011492307</v>
      </c>
      <c r="AD49" s="357"/>
      <c r="AE49" s="358" t="s">
        <v>1803</v>
      </c>
      <c r="AF49" s="346" t="s">
        <v>1947</v>
      </c>
      <c r="AG49" s="347"/>
      <c r="AH49" s="359" t="s">
        <v>1805</v>
      </c>
      <c r="AI49" s="347" t="s">
        <v>1886</v>
      </c>
      <c r="AJ49" s="347" t="s">
        <v>561</v>
      </c>
      <c r="AK49" s="347" t="s">
        <v>215</v>
      </c>
      <c r="AL49" s="111"/>
    </row>
    <row r="50" spans="1:38" ht="13.5" hidden="1" customHeight="1">
      <c r="A50" s="362" t="s">
        <v>1954</v>
      </c>
      <c r="B50" s="362" t="s">
        <v>1794</v>
      </c>
      <c r="C50" s="362" t="s">
        <v>1795</v>
      </c>
      <c r="D50" s="362" t="s">
        <v>1865</v>
      </c>
      <c r="E50" s="362" t="s">
        <v>1955</v>
      </c>
      <c r="F50" s="363">
        <v>65</v>
      </c>
      <c r="G50" s="364" t="s">
        <v>508</v>
      </c>
      <c r="H50" s="365" t="s">
        <v>603</v>
      </c>
      <c r="I50" s="366" t="s">
        <v>1955</v>
      </c>
      <c r="J50" s="367" t="s">
        <v>848</v>
      </c>
      <c r="K50" s="368" t="s">
        <v>1798</v>
      </c>
      <c r="L50" s="369" t="s">
        <v>1799</v>
      </c>
      <c r="M50" s="369" t="s">
        <v>1800</v>
      </c>
      <c r="N50" s="368" t="s">
        <v>1801</v>
      </c>
      <c r="O50" s="370" t="s">
        <v>947</v>
      </c>
      <c r="P50" s="371" t="s">
        <v>873</v>
      </c>
      <c r="Q50" s="372" t="s">
        <v>1802</v>
      </c>
      <c r="R50" s="373">
        <v>2438894.1500000004</v>
      </c>
      <c r="S50" s="374">
        <v>95513.776962322518</v>
      </c>
      <c r="T50" s="375">
        <v>0.25</v>
      </c>
      <c r="U50" s="376">
        <v>23878.444240580629</v>
      </c>
      <c r="V50" s="375">
        <v>0.25</v>
      </c>
      <c r="W50" s="376">
        <v>23878.444240580629</v>
      </c>
      <c r="X50" s="375">
        <v>0.25</v>
      </c>
      <c r="Y50" s="376">
        <v>23878.444240580629</v>
      </c>
      <c r="Z50" s="375">
        <v>0.25</v>
      </c>
      <c r="AA50" s="374">
        <v>23878.444240580629</v>
      </c>
      <c r="AB50" s="374">
        <v>1</v>
      </c>
      <c r="AC50" s="374">
        <v>95513.776962322518</v>
      </c>
      <c r="AD50" s="377"/>
      <c r="AE50" s="378" t="s">
        <v>1803</v>
      </c>
      <c r="AF50" s="366" t="s">
        <v>1947</v>
      </c>
      <c r="AG50" s="367"/>
      <c r="AH50" s="379" t="s">
        <v>1805</v>
      </c>
      <c r="AI50" s="367" t="s">
        <v>1886</v>
      </c>
      <c r="AJ50" s="367" t="s">
        <v>561</v>
      </c>
      <c r="AK50" s="347" t="s">
        <v>215</v>
      </c>
      <c r="AL50" s="111"/>
    </row>
    <row r="51" spans="1:38" ht="13.5" hidden="1" customHeight="1">
      <c r="A51" s="452" t="s">
        <v>1956</v>
      </c>
      <c r="B51" s="452" t="s">
        <v>1794</v>
      </c>
      <c r="C51" s="452" t="s">
        <v>1795</v>
      </c>
      <c r="D51" s="452" t="s">
        <v>1865</v>
      </c>
      <c r="E51" s="452" t="s">
        <v>574</v>
      </c>
      <c r="F51" s="752">
        <v>66</v>
      </c>
      <c r="G51" s="753" t="s">
        <v>508</v>
      </c>
      <c r="H51" s="453" t="s">
        <v>573</v>
      </c>
      <c r="I51" s="754" t="s">
        <v>574</v>
      </c>
      <c r="J51" s="755" t="s">
        <v>848</v>
      </c>
      <c r="K51" s="756" t="s">
        <v>1798</v>
      </c>
      <c r="L51" s="757" t="s">
        <v>1799</v>
      </c>
      <c r="M51" s="757" t="s">
        <v>1800</v>
      </c>
      <c r="N51" s="756" t="s">
        <v>1801</v>
      </c>
      <c r="O51" s="758" t="s">
        <v>947</v>
      </c>
      <c r="P51" s="759" t="s">
        <v>873</v>
      </c>
      <c r="Q51" s="760" t="s">
        <v>1802</v>
      </c>
      <c r="R51" s="761">
        <v>1056909.7000000002</v>
      </c>
      <c r="S51" s="762">
        <v>41391.47955851844</v>
      </c>
      <c r="T51" s="763">
        <v>0.25</v>
      </c>
      <c r="U51" s="764">
        <v>10347.86988962961</v>
      </c>
      <c r="V51" s="763">
        <v>0.25</v>
      </c>
      <c r="W51" s="764">
        <v>10347.86988962961</v>
      </c>
      <c r="X51" s="763">
        <v>0.25</v>
      </c>
      <c r="Y51" s="764">
        <v>10347.86988962961</v>
      </c>
      <c r="Z51" s="763">
        <v>0.25</v>
      </c>
      <c r="AA51" s="762">
        <v>10347.86988962961</v>
      </c>
      <c r="AB51" s="762">
        <v>1</v>
      </c>
      <c r="AC51" s="762">
        <v>41391.47955851844</v>
      </c>
      <c r="AD51" s="765"/>
      <c r="AE51" s="766" t="s">
        <v>1803</v>
      </c>
      <c r="AF51" s="767" t="s">
        <v>1957</v>
      </c>
      <c r="AG51" s="744"/>
      <c r="AH51" s="745" t="s">
        <v>1805</v>
      </c>
      <c r="AI51" s="751" t="s">
        <v>1958</v>
      </c>
      <c r="AJ51" s="751" t="s">
        <v>1959</v>
      </c>
      <c r="AK51" s="745" t="s">
        <v>171</v>
      </c>
      <c r="AL51" s="111" t="s">
        <v>1960</v>
      </c>
    </row>
    <row r="52" spans="1:38" ht="13.5" hidden="1" customHeight="1">
      <c r="A52" s="380" t="s">
        <v>1961</v>
      </c>
      <c r="B52" s="380" t="s">
        <v>1794</v>
      </c>
      <c r="C52" s="380" t="s">
        <v>1795</v>
      </c>
      <c r="D52" s="380" t="s">
        <v>1796</v>
      </c>
      <c r="E52" s="380" t="s">
        <v>1962</v>
      </c>
      <c r="F52" s="454">
        <v>67</v>
      </c>
      <c r="G52" s="382" t="s">
        <v>508</v>
      </c>
      <c r="H52" s="743" t="s">
        <v>573</v>
      </c>
      <c r="I52" s="383" t="s">
        <v>1962</v>
      </c>
      <c r="J52" s="744" t="s">
        <v>875</v>
      </c>
      <c r="K52" s="384" t="s">
        <v>1798</v>
      </c>
      <c r="L52" s="385" t="s">
        <v>1799</v>
      </c>
      <c r="M52" s="385" t="s">
        <v>1800</v>
      </c>
      <c r="N52" s="384" t="s">
        <v>1801</v>
      </c>
      <c r="O52" s="386" t="s">
        <v>1133</v>
      </c>
      <c r="P52" s="387" t="s">
        <v>873</v>
      </c>
      <c r="Q52" s="388" t="s">
        <v>1802</v>
      </c>
      <c r="R52" s="389">
        <v>100304.80500000001</v>
      </c>
      <c r="S52" s="390">
        <v>3928.210977511776</v>
      </c>
      <c r="T52" s="391">
        <v>0.25</v>
      </c>
      <c r="U52" s="392">
        <v>982.05274437794401</v>
      </c>
      <c r="V52" s="391">
        <v>0.25</v>
      </c>
      <c r="W52" s="392">
        <v>982.05274437794401</v>
      </c>
      <c r="X52" s="391">
        <v>0.25</v>
      </c>
      <c r="Y52" s="392">
        <v>982.05274437794401</v>
      </c>
      <c r="Z52" s="391">
        <v>0.25</v>
      </c>
      <c r="AA52" s="390">
        <v>982.05274437794401</v>
      </c>
      <c r="AB52" s="390">
        <v>1</v>
      </c>
      <c r="AC52" s="390">
        <v>3928.210977511776</v>
      </c>
      <c r="AD52" s="393"/>
      <c r="AE52" s="394" t="s">
        <v>1803</v>
      </c>
      <c r="AF52" s="383" t="s">
        <v>1963</v>
      </c>
      <c r="AG52" s="347"/>
      <c r="AH52" s="359" t="s">
        <v>1805</v>
      </c>
      <c r="AI52" s="347" t="s">
        <v>1886</v>
      </c>
      <c r="AJ52" s="347" t="s">
        <v>561</v>
      </c>
      <c r="AK52" s="359" t="s">
        <v>218</v>
      </c>
      <c r="AL52" s="111"/>
    </row>
    <row r="53" spans="1:38" ht="13.5" hidden="1" customHeight="1">
      <c r="A53" s="342" t="s">
        <v>1964</v>
      </c>
      <c r="B53" s="342" t="s">
        <v>1794</v>
      </c>
      <c r="C53" s="342" t="s">
        <v>1795</v>
      </c>
      <c r="D53" s="342" t="s">
        <v>1812</v>
      </c>
      <c r="E53" s="342" t="s">
        <v>1965</v>
      </c>
      <c r="F53" s="361">
        <v>68</v>
      </c>
      <c r="G53" s="344" t="s">
        <v>508</v>
      </c>
      <c r="H53" s="345" t="s">
        <v>573</v>
      </c>
      <c r="I53" s="346" t="s">
        <v>1965</v>
      </c>
      <c r="J53" s="347" t="s">
        <v>881</v>
      </c>
      <c r="K53" s="348" t="s">
        <v>1798</v>
      </c>
      <c r="L53" s="349" t="s">
        <v>1799</v>
      </c>
      <c r="M53" s="349" t="s">
        <v>1800</v>
      </c>
      <c r="N53" s="348" t="s">
        <v>1801</v>
      </c>
      <c r="O53" s="350" t="s">
        <v>964</v>
      </c>
      <c r="P53" s="351" t="s">
        <v>873</v>
      </c>
      <c r="Q53" s="352" t="s">
        <v>1802</v>
      </c>
      <c r="R53" s="353">
        <v>150457.20750000002</v>
      </c>
      <c r="S53" s="354">
        <v>5892.3164662676645</v>
      </c>
      <c r="T53" s="355">
        <v>0.25</v>
      </c>
      <c r="U53" s="356">
        <v>1473.0791165669161</v>
      </c>
      <c r="V53" s="355">
        <v>0.25</v>
      </c>
      <c r="W53" s="356">
        <v>1473.0791165669161</v>
      </c>
      <c r="X53" s="355">
        <v>0.25</v>
      </c>
      <c r="Y53" s="356">
        <v>1473.0791165669161</v>
      </c>
      <c r="Z53" s="355">
        <v>0.25</v>
      </c>
      <c r="AA53" s="354">
        <v>1473.0791165669161</v>
      </c>
      <c r="AB53" s="354">
        <v>1</v>
      </c>
      <c r="AC53" s="354">
        <v>5892.3164662676645</v>
      </c>
      <c r="AD53" s="357"/>
      <c r="AE53" s="358" t="s">
        <v>1803</v>
      </c>
      <c r="AF53" s="346" t="s">
        <v>1963</v>
      </c>
      <c r="AG53" s="347"/>
      <c r="AH53" s="359" t="s">
        <v>1805</v>
      </c>
      <c r="AI53" s="347" t="s">
        <v>1886</v>
      </c>
      <c r="AJ53" s="347" t="s">
        <v>561</v>
      </c>
      <c r="AK53" s="359" t="s">
        <v>218</v>
      </c>
      <c r="AL53" s="111"/>
    </row>
    <row r="54" spans="1:38" ht="13.5" hidden="1" customHeight="1">
      <c r="A54" s="342" t="s">
        <v>1966</v>
      </c>
      <c r="B54" s="342" t="s">
        <v>1794</v>
      </c>
      <c r="C54" s="342" t="s">
        <v>1795</v>
      </c>
      <c r="D54" s="342" t="s">
        <v>1815</v>
      </c>
      <c r="E54" s="342" t="s">
        <v>1967</v>
      </c>
      <c r="F54" s="361">
        <v>69</v>
      </c>
      <c r="G54" s="344" t="s">
        <v>508</v>
      </c>
      <c r="H54" s="345" t="s">
        <v>573</v>
      </c>
      <c r="I54" s="346" t="s">
        <v>1967</v>
      </c>
      <c r="J54" s="347" t="s">
        <v>989</v>
      </c>
      <c r="K54" s="348" t="s">
        <v>1798</v>
      </c>
      <c r="L54" s="349" t="s">
        <v>1799</v>
      </c>
      <c r="M54" s="349" t="s">
        <v>1800</v>
      </c>
      <c r="N54" s="348" t="s">
        <v>1801</v>
      </c>
      <c r="O54" s="350" t="s">
        <v>1817</v>
      </c>
      <c r="P54" s="351" t="s">
        <v>873</v>
      </c>
      <c r="Q54" s="352" t="s">
        <v>1802</v>
      </c>
      <c r="R54" s="353">
        <v>54899.999999999993</v>
      </c>
      <c r="S54" s="354">
        <v>2150.0344142575868</v>
      </c>
      <c r="T54" s="355">
        <v>0.25</v>
      </c>
      <c r="U54" s="356">
        <v>537.50860356439671</v>
      </c>
      <c r="V54" s="355">
        <v>0.25</v>
      </c>
      <c r="W54" s="356">
        <v>537.50860356439671</v>
      </c>
      <c r="X54" s="355">
        <v>0.25</v>
      </c>
      <c r="Y54" s="356">
        <v>537.50860356439671</v>
      </c>
      <c r="Z54" s="355">
        <v>0.25</v>
      </c>
      <c r="AA54" s="354">
        <v>537.50860356439671</v>
      </c>
      <c r="AB54" s="354">
        <v>1</v>
      </c>
      <c r="AC54" s="354">
        <v>2150.0344142575868</v>
      </c>
      <c r="AD54" s="357"/>
      <c r="AE54" s="358" t="s">
        <v>1803</v>
      </c>
      <c r="AF54" s="346" t="s">
        <v>1963</v>
      </c>
      <c r="AG54" s="347"/>
      <c r="AH54" s="359" t="s">
        <v>1805</v>
      </c>
      <c r="AI54" s="347" t="s">
        <v>1886</v>
      </c>
      <c r="AJ54" s="347" t="s">
        <v>561</v>
      </c>
      <c r="AK54" s="359" t="s">
        <v>218</v>
      </c>
      <c r="AL54" s="111"/>
    </row>
    <row r="55" spans="1:38" ht="13.5" hidden="1" customHeight="1">
      <c r="A55" s="342" t="s">
        <v>1968</v>
      </c>
      <c r="B55" s="342" t="s">
        <v>1794</v>
      </c>
      <c r="C55" s="342" t="s">
        <v>1795</v>
      </c>
      <c r="D55" s="342" t="s">
        <v>1865</v>
      </c>
      <c r="E55" s="342" t="s">
        <v>671</v>
      </c>
      <c r="F55" s="343">
        <v>70</v>
      </c>
      <c r="G55" s="344" t="s">
        <v>508</v>
      </c>
      <c r="H55" s="345" t="s">
        <v>573</v>
      </c>
      <c r="I55" s="346" t="s">
        <v>671</v>
      </c>
      <c r="J55" s="347" t="s">
        <v>848</v>
      </c>
      <c r="K55" s="348" t="s">
        <v>1798</v>
      </c>
      <c r="L55" s="349" t="s">
        <v>1799</v>
      </c>
      <c r="M55" s="349" t="s">
        <v>1800</v>
      </c>
      <c r="N55" s="348" t="s">
        <v>1801</v>
      </c>
      <c r="O55" s="350" t="s">
        <v>947</v>
      </c>
      <c r="P55" s="351" t="s">
        <v>873</v>
      </c>
      <c r="Q55" s="352" t="s">
        <v>1802</v>
      </c>
      <c r="R55" s="353">
        <v>565129.80000000005</v>
      </c>
      <c r="S55" s="354">
        <v>22132.031302777912</v>
      </c>
      <c r="T55" s="355">
        <v>0.25</v>
      </c>
      <c r="U55" s="356">
        <v>5533.007825694478</v>
      </c>
      <c r="V55" s="355">
        <v>0.25</v>
      </c>
      <c r="W55" s="356">
        <v>5533.007825694478</v>
      </c>
      <c r="X55" s="355">
        <v>0.25</v>
      </c>
      <c r="Y55" s="356">
        <v>5533.007825694478</v>
      </c>
      <c r="Z55" s="355">
        <v>0.25</v>
      </c>
      <c r="AA55" s="354">
        <v>5533.007825694478</v>
      </c>
      <c r="AB55" s="354">
        <v>1</v>
      </c>
      <c r="AC55" s="354">
        <v>22132.031302777912</v>
      </c>
      <c r="AD55" s="357"/>
      <c r="AE55" s="358" t="s">
        <v>1803</v>
      </c>
      <c r="AF55" s="346" t="s">
        <v>1963</v>
      </c>
      <c r="AG55" s="347"/>
      <c r="AH55" s="359" t="s">
        <v>1805</v>
      </c>
      <c r="AI55" s="347" t="s">
        <v>1886</v>
      </c>
      <c r="AJ55" s="347" t="s">
        <v>561</v>
      </c>
      <c r="AK55" s="359" t="s">
        <v>218</v>
      </c>
      <c r="AL55" s="111"/>
    </row>
    <row r="56" spans="1:38" ht="13.5" hidden="1" customHeight="1">
      <c r="A56" s="362" t="s">
        <v>1969</v>
      </c>
      <c r="B56" s="362" t="s">
        <v>1794</v>
      </c>
      <c r="C56" s="362" t="s">
        <v>1795</v>
      </c>
      <c r="D56" s="362" t="s">
        <v>1901</v>
      </c>
      <c r="E56" s="362" t="s">
        <v>671</v>
      </c>
      <c r="F56" s="363">
        <v>71</v>
      </c>
      <c r="G56" s="364" t="s">
        <v>508</v>
      </c>
      <c r="H56" s="365" t="s">
        <v>573</v>
      </c>
      <c r="I56" s="366" t="s">
        <v>671</v>
      </c>
      <c r="J56" s="367" t="s">
        <v>1903</v>
      </c>
      <c r="K56" s="368" t="s">
        <v>1798</v>
      </c>
      <c r="L56" s="369" t="s">
        <v>1799</v>
      </c>
      <c r="M56" s="369" t="s">
        <v>1800</v>
      </c>
      <c r="N56" s="368" t="s">
        <v>1801</v>
      </c>
      <c r="O56" s="370" t="s">
        <v>789</v>
      </c>
      <c r="P56" s="371" t="s">
        <v>873</v>
      </c>
      <c r="Q56" s="372" t="s">
        <v>1802</v>
      </c>
      <c r="R56" s="373">
        <v>383017.25</v>
      </c>
      <c r="S56" s="374">
        <v>15000.004895342472</v>
      </c>
      <c r="T56" s="375">
        <v>0.25</v>
      </c>
      <c r="U56" s="376">
        <v>3750.001223835618</v>
      </c>
      <c r="V56" s="375">
        <v>0.25</v>
      </c>
      <c r="W56" s="376">
        <v>3750.001223835618</v>
      </c>
      <c r="X56" s="375">
        <v>0.25</v>
      </c>
      <c r="Y56" s="376">
        <v>3750.001223835618</v>
      </c>
      <c r="Z56" s="375">
        <v>0.25</v>
      </c>
      <c r="AA56" s="374">
        <v>3750.001223835618</v>
      </c>
      <c r="AB56" s="374">
        <v>1</v>
      </c>
      <c r="AC56" s="374">
        <v>15000.004895342472</v>
      </c>
      <c r="AD56" s="377"/>
      <c r="AE56" s="378" t="s">
        <v>1803</v>
      </c>
      <c r="AF56" s="366" t="s">
        <v>1963</v>
      </c>
      <c r="AG56" s="347"/>
      <c r="AH56" s="359" t="s">
        <v>1805</v>
      </c>
      <c r="AI56" s="347" t="s">
        <v>1886</v>
      </c>
      <c r="AJ56" s="347" t="s">
        <v>561</v>
      </c>
      <c r="AK56" s="359" t="s">
        <v>218</v>
      </c>
      <c r="AL56" s="111"/>
    </row>
    <row r="57" spans="1:38" ht="13.5" hidden="1" customHeight="1">
      <c r="A57" s="380" t="s">
        <v>1970</v>
      </c>
      <c r="B57" s="380" t="s">
        <v>1794</v>
      </c>
      <c r="C57" s="380" t="s">
        <v>1795</v>
      </c>
      <c r="D57" s="380" t="s">
        <v>1796</v>
      </c>
      <c r="E57" s="380" t="s">
        <v>1971</v>
      </c>
      <c r="F57" s="381">
        <v>72</v>
      </c>
      <c r="G57" s="382" t="s">
        <v>508</v>
      </c>
      <c r="H57" s="743" t="s">
        <v>646</v>
      </c>
      <c r="I57" s="383" t="s">
        <v>1971</v>
      </c>
      <c r="J57" s="744" t="s">
        <v>875</v>
      </c>
      <c r="K57" s="384" t="s">
        <v>1798</v>
      </c>
      <c r="L57" s="385" t="s">
        <v>1799</v>
      </c>
      <c r="M57" s="385" t="s">
        <v>1800</v>
      </c>
      <c r="N57" s="384" t="s">
        <v>1801</v>
      </c>
      <c r="O57" s="386" t="s">
        <v>1133</v>
      </c>
      <c r="P57" s="387" t="s">
        <v>873</v>
      </c>
      <c r="Q57" s="388" t="s">
        <v>1802</v>
      </c>
      <c r="R57" s="389">
        <v>218756.00000000006</v>
      </c>
      <c r="S57" s="390">
        <v>8567.0843046508708</v>
      </c>
      <c r="T57" s="391">
        <v>0.25</v>
      </c>
      <c r="U57" s="392">
        <v>2141.7710761627177</v>
      </c>
      <c r="V57" s="391">
        <v>0.25</v>
      </c>
      <c r="W57" s="392">
        <v>2141.7710761627177</v>
      </c>
      <c r="X57" s="391">
        <v>0.25</v>
      </c>
      <c r="Y57" s="392">
        <v>2141.7710761627177</v>
      </c>
      <c r="Z57" s="391">
        <v>0.25</v>
      </c>
      <c r="AA57" s="390">
        <v>2141.7710761627177</v>
      </c>
      <c r="AB57" s="390">
        <v>1</v>
      </c>
      <c r="AC57" s="390">
        <v>8567.0843046508708</v>
      </c>
      <c r="AD57" s="393"/>
      <c r="AE57" s="394" t="s">
        <v>1803</v>
      </c>
      <c r="AF57" s="383" t="s">
        <v>1972</v>
      </c>
      <c r="AG57" s="347"/>
      <c r="AH57" s="359" t="s">
        <v>1805</v>
      </c>
      <c r="AI57" s="359"/>
      <c r="AJ57" s="359" t="s">
        <v>535</v>
      </c>
      <c r="AK57" s="455" t="s">
        <v>1973</v>
      </c>
      <c r="AL57" s="360"/>
    </row>
    <row r="58" spans="1:38" ht="13.5" hidden="1" customHeight="1">
      <c r="A58" s="342" t="s">
        <v>1974</v>
      </c>
      <c r="B58" s="342" t="s">
        <v>1794</v>
      </c>
      <c r="C58" s="342" t="s">
        <v>1795</v>
      </c>
      <c r="D58" s="342" t="s">
        <v>1809</v>
      </c>
      <c r="E58" s="342" t="s">
        <v>1975</v>
      </c>
      <c r="F58" s="343">
        <v>73</v>
      </c>
      <c r="G58" s="344" t="s">
        <v>508</v>
      </c>
      <c r="H58" s="345" t="s">
        <v>646</v>
      </c>
      <c r="I58" s="346" t="s">
        <v>1975</v>
      </c>
      <c r="J58" s="347" t="s">
        <v>977</v>
      </c>
      <c r="K58" s="348" t="s">
        <v>1798</v>
      </c>
      <c r="L58" s="349" t="s">
        <v>1799</v>
      </c>
      <c r="M58" s="349" t="s">
        <v>1800</v>
      </c>
      <c r="N58" s="348" t="s">
        <v>1801</v>
      </c>
      <c r="O58" s="350" t="s">
        <v>961</v>
      </c>
      <c r="P58" s="351" t="s">
        <v>873</v>
      </c>
      <c r="Q58" s="352" t="s">
        <v>1802</v>
      </c>
      <c r="R58" s="353">
        <v>380800</v>
      </c>
      <c r="S58" s="354">
        <v>14913.171310551714</v>
      </c>
      <c r="T58" s="355">
        <v>0.25</v>
      </c>
      <c r="U58" s="356">
        <v>3728.2928276379284</v>
      </c>
      <c r="V58" s="355">
        <v>0.25</v>
      </c>
      <c r="W58" s="356">
        <v>3728.2928276379284</v>
      </c>
      <c r="X58" s="355">
        <v>0.25</v>
      </c>
      <c r="Y58" s="356">
        <v>3728.2928276379284</v>
      </c>
      <c r="Z58" s="355">
        <v>0.25</v>
      </c>
      <c r="AA58" s="354">
        <v>3728.2928276379284</v>
      </c>
      <c r="AB58" s="354">
        <v>1</v>
      </c>
      <c r="AC58" s="354">
        <v>14913.171310551714</v>
      </c>
      <c r="AD58" s="357"/>
      <c r="AE58" s="358" t="s">
        <v>1803</v>
      </c>
      <c r="AF58" s="346" t="s">
        <v>1972</v>
      </c>
      <c r="AG58" s="347"/>
      <c r="AH58" s="359" t="s">
        <v>1805</v>
      </c>
      <c r="AI58" s="359"/>
      <c r="AJ58" s="359" t="s">
        <v>535</v>
      </c>
      <c r="AK58" s="455" t="s">
        <v>1973</v>
      </c>
      <c r="AL58" s="360"/>
    </row>
    <row r="59" spans="1:38" ht="13.5" hidden="1" customHeight="1">
      <c r="A59" s="342" t="s">
        <v>1976</v>
      </c>
      <c r="B59" s="342" t="s">
        <v>1794</v>
      </c>
      <c r="C59" s="342" t="s">
        <v>1795</v>
      </c>
      <c r="D59" s="342" t="s">
        <v>1812</v>
      </c>
      <c r="E59" s="342" t="s">
        <v>1977</v>
      </c>
      <c r="F59" s="361">
        <v>74</v>
      </c>
      <c r="G59" s="344" t="s">
        <v>508</v>
      </c>
      <c r="H59" s="345" t="s">
        <v>646</v>
      </c>
      <c r="I59" s="346" t="s">
        <v>1977</v>
      </c>
      <c r="J59" s="347" t="s">
        <v>881</v>
      </c>
      <c r="K59" s="348" t="s">
        <v>1798</v>
      </c>
      <c r="L59" s="349" t="s">
        <v>1799</v>
      </c>
      <c r="M59" s="349" t="s">
        <v>1800</v>
      </c>
      <c r="N59" s="348" t="s">
        <v>1801</v>
      </c>
      <c r="O59" s="350" t="s">
        <v>964</v>
      </c>
      <c r="P59" s="351" t="s">
        <v>873</v>
      </c>
      <c r="Q59" s="352" t="s">
        <v>1802</v>
      </c>
      <c r="R59" s="353">
        <v>328133.99999999994</v>
      </c>
      <c r="S59" s="354">
        <v>12850.626456976301</v>
      </c>
      <c r="T59" s="355">
        <v>0.25</v>
      </c>
      <c r="U59" s="356">
        <v>3212.6566142440752</v>
      </c>
      <c r="V59" s="355">
        <v>0.25</v>
      </c>
      <c r="W59" s="356">
        <v>3212.6566142440752</v>
      </c>
      <c r="X59" s="355">
        <v>0.25</v>
      </c>
      <c r="Y59" s="356">
        <v>3212.6566142440752</v>
      </c>
      <c r="Z59" s="355">
        <v>0.25</v>
      </c>
      <c r="AA59" s="354">
        <v>3212.6566142440752</v>
      </c>
      <c r="AB59" s="354">
        <v>1</v>
      </c>
      <c r="AC59" s="354">
        <v>12850.626456976301</v>
      </c>
      <c r="AD59" s="357"/>
      <c r="AE59" s="358" t="s">
        <v>1803</v>
      </c>
      <c r="AF59" s="346" t="s">
        <v>1972</v>
      </c>
      <c r="AG59" s="347"/>
      <c r="AH59" s="359" t="s">
        <v>1805</v>
      </c>
      <c r="AI59" s="359"/>
      <c r="AJ59" s="359" t="s">
        <v>535</v>
      </c>
      <c r="AK59" s="455" t="s">
        <v>1973</v>
      </c>
      <c r="AL59" s="360"/>
    </row>
    <row r="60" spans="1:38" ht="13.5" hidden="1" customHeight="1">
      <c r="A60" s="342" t="s">
        <v>1978</v>
      </c>
      <c r="B60" s="342" t="s">
        <v>1794</v>
      </c>
      <c r="C60" s="342" t="s">
        <v>1795</v>
      </c>
      <c r="D60" s="342" t="s">
        <v>1815</v>
      </c>
      <c r="E60" s="342" t="s">
        <v>1979</v>
      </c>
      <c r="F60" s="361">
        <v>75</v>
      </c>
      <c r="G60" s="344" t="s">
        <v>508</v>
      </c>
      <c r="H60" s="345" t="s">
        <v>646</v>
      </c>
      <c r="I60" s="346" t="s">
        <v>1979</v>
      </c>
      <c r="J60" s="347" t="s">
        <v>989</v>
      </c>
      <c r="K60" s="348" t="s">
        <v>1798</v>
      </c>
      <c r="L60" s="349" t="s">
        <v>1799</v>
      </c>
      <c r="M60" s="349" t="s">
        <v>1800</v>
      </c>
      <c r="N60" s="348" t="s">
        <v>1801</v>
      </c>
      <c r="O60" s="350" t="s">
        <v>1817</v>
      </c>
      <c r="P60" s="351" t="s">
        <v>873</v>
      </c>
      <c r="Q60" s="352" t="s">
        <v>1802</v>
      </c>
      <c r="R60" s="353">
        <v>165920</v>
      </c>
      <c r="S60" s="354">
        <v>6497.8817853118189</v>
      </c>
      <c r="T60" s="355">
        <v>0.25</v>
      </c>
      <c r="U60" s="356">
        <v>1624.4704463279547</v>
      </c>
      <c r="V60" s="355">
        <v>0.25</v>
      </c>
      <c r="W60" s="356">
        <v>1624.4704463279547</v>
      </c>
      <c r="X60" s="355">
        <v>0.25</v>
      </c>
      <c r="Y60" s="356">
        <v>1624.4704463279547</v>
      </c>
      <c r="Z60" s="355">
        <v>0.25</v>
      </c>
      <c r="AA60" s="354">
        <v>1624.4704463279547</v>
      </c>
      <c r="AB60" s="354">
        <v>1</v>
      </c>
      <c r="AC60" s="354">
        <v>6497.8817853118189</v>
      </c>
      <c r="AD60" s="357"/>
      <c r="AE60" s="358" t="s">
        <v>1803</v>
      </c>
      <c r="AF60" s="346" t="s">
        <v>1972</v>
      </c>
      <c r="AG60" s="347"/>
      <c r="AH60" s="359" t="s">
        <v>1805</v>
      </c>
      <c r="AI60" s="359"/>
      <c r="AJ60" s="359" t="s">
        <v>535</v>
      </c>
      <c r="AK60" s="455" t="s">
        <v>1973</v>
      </c>
      <c r="AL60" s="360"/>
    </row>
    <row r="61" spans="1:38" ht="13.5" hidden="1" customHeight="1">
      <c r="A61" s="362" t="s">
        <v>1980</v>
      </c>
      <c r="B61" s="362" t="s">
        <v>1794</v>
      </c>
      <c r="C61" s="362" t="s">
        <v>1795</v>
      </c>
      <c r="D61" s="362" t="s">
        <v>1819</v>
      </c>
      <c r="E61" s="362" t="s">
        <v>647</v>
      </c>
      <c r="F61" s="396">
        <v>76</v>
      </c>
      <c r="G61" s="364" t="s">
        <v>508</v>
      </c>
      <c r="H61" s="365" t="s">
        <v>646</v>
      </c>
      <c r="I61" s="366" t="s">
        <v>647</v>
      </c>
      <c r="J61" s="367" t="s">
        <v>877</v>
      </c>
      <c r="K61" s="368" t="s">
        <v>1798</v>
      </c>
      <c r="L61" s="369" t="s">
        <v>1799</v>
      </c>
      <c r="M61" s="369" t="s">
        <v>1800</v>
      </c>
      <c r="N61" s="368" t="s">
        <v>1801</v>
      </c>
      <c r="O61" s="370" t="s">
        <v>789</v>
      </c>
      <c r="P61" s="371" t="s">
        <v>873</v>
      </c>
      <c r="Q61" s="372" t="s">
        <v>1802</v>
      </c>
      <c r="R61" s="373">
        <v>1640840</v>
      </c>
      <c r="S61" s="374">
        <v>64259.789950645158</v>
      </c>
      <c r="T61" s="375">
        <v>0.25</v>
      </c>
      <c r="U61" s="376">
        <v>16064.947487661289</v>
      </c>
      <c r="V61" s="375">
        <v>0.25</v>
      </c>
      <c r="W61" s="376">
        <v>16064.947487661289</v>
      </c>
      <c r="X61" s="375">
        <v>0.25</v>
      </c>
      <c r="Y61" s="376">
        <v>16064.947487661289</v>
      </c>
      <c r="Z61" s="375">
        <v>0.25</v>
      </c>
      <c r="AA61" s="374">
        <v>16064.947487661289</v>
      </c>
      <c r="AB61" s="374">
        <v>1</v>
      </c>
      <c r="AC61" s="374">
        <v>64259.789950645158</v>
      </c>
      <c r="AD61" s="377"/>
      <c r="AE61" s="378" t="s">
        <v>1803</v>
      </c>
      <c r="AF61" s="366" t="s">
        <v>1972</v>
      </c>
      <c r="AG61" s="347"/>
      <c r="AH61" s="359" t="s">
        <v>1805</v>
      </c>
      <c r="AI61" s="359"/>
      <c r="AJ61" s="359" t="s">
        <v>535</v>
      </c>
      <c r="AK61" s="455" t="s">
        <v>1973</v>
      </c>
      <c r="AL61" s="360"/>
    </row>
    <row r="62" spans="1:38" ht="13.5" hidden="1" customHeight="1">
      <c r="A62" s="380" t="s">
        <v>1981</v>
      </c>
      <c r="B62" s="380" t="s">
        <v>1794</v>
      </c>
      <c r="C62" s="380" t="s">
        <v>1795</v>
      </c>
      <c r="D62" s="380" t="s">
        <v>1809</v>
      </c>
      <c r="E62" s="380" t="s">
        <v>1982</v>
      </c>
      <c r="F62" s="381">
        <v>77</v>
      </c>
      <c r="G62" s="382" t="s">
        <v>508</v>
      </c>
      <c r="H62" s="743" t="s">
        <v>646</v>
      </c>
      <c r="I62" s="383" t="s">
        <v>1982</v>
      </c>
      <c r="J62" s="747" t="s">
        <v>977</v>
      </c>
      <c r="K62" s="384" t="s">
        <v>1798</v>
      </c>
      <c r="L62" s="385" t="s">
        <v>1799</v>
      </c>
      <c r="M62" s="385" t="s">
        <v>1800</v>
      </c>
      <c r="N62" s="384" t="s">
        <v>1801</v>
      </c>
      <c r="O62" s="386" t="s">
        <v>961</v>
      </c>
      <c r="P62" s="387" t="s">
        <v>873</v>
      </c>
      <c r="Q62" s="388" t="s">
        <v>1802</v>
      </c>
      <c r="R62" s="389">
        <v>146653</v>
      </c>
      <c r="S62" s="390">
        <v>5743.3332778527856</v>
      </c>
      <c r="T62" s="391">
        <v>0.25</v>
      </c>
      <c r="U62" s="392">
        <v>1435.8333194631964</v>
      </c>
      <c r="V62" s="391">
        <v>0.25</v>
      </c>
      <c r="W62" s="392">
        <v>1435.8333194631964</v>
      </c>
      <c r="X62" s="391">
        <v>0.25</v>
      </c>
      <c r="Y62" s="392">
        <v>1435.8333194631964</v>
      </c>
      <c r="Z62" s="391">
        <v>0.25</v>
      </c>
      <c r="AA62" s="390">
        <v>1435.8333194631964</v>
      </c>
      <c r="AB62" s="390">
        <v>1</v>
      </c>
      <c r="AC62" s="390">
        <v>5743.3332778527856</v>
      </c>
      <c r="AD62" s="393"/>
      <c r="AE62" s="394" t="s">
        <v>1803</v>
      </c>
      <c r="AF62" s="383" t="s">
        <v>1983</v>
      </c>
      <c r="AG62" s="347"/>
      <c r="AH62" s="359" t="s">
        <v>1805</v>
      </c>
      <c r="AI62" s="359"/>
      <c r="AJ62" s="359" t="s">
        <v>535</v>
      </c>
      <c r="AK62" s="359" t="s">
        <v>54</v>
      </c>
      <c r="AL62" s="111"/>
    </row>
    <row r="63" spans="1:38" ht="13.5" hidden="1" customHeight="1">
      <c r="A63" s="342" t="s">
        <v>1984</v>
      </c>
      <c r="B63" s="342" t="s">
        <v>1794</v>
      </c>
      <c r="C63" s="342" t="s">
        <v>1795</v>
      </c>
      <c r="D63" s="342" t="s">
        <v>1985</v>
      </c>
      <c r="E63" s="342" t="s">
        <v>1986</v>
      </c>
      <c r="F63" s="361">
        <v>78</v>
      </c>
      <c r="G63" s="344" t="s">
        <v>508</v>
      </c>
      <c r="H63" s="345" t="s">
        <v>646</v>
      </c>
      <c r="I63" s="346" t="s">
        <v>1986</v>
      </c>
      <c r="J63" s="399" t="s">
        <v>1150</v>
      </c>
      <c r="K63" s="348" t="s">
        <v>1798</v>
      </c>
      <c r="L63" s="349" t="s">
        <v>1799</v>
      </c>
      <c r="M63" s="349" t="s">
        <v>1800</v>
      </c>
      <c r="N63" s="348" t="s">
        <v>1801</v>
      </c>
      <c r="O63" s="350" t="s">
        <v>1151</v>
      </c>
      <c r="P63" s="351" t="s">
        <v>873</v>
      </c>
      <c r="Q63" s="352" t="s">
        <v>1802</v>
      </c>
      <c r="R63" s="353">
        <v>1233130</v>
      </c>
      <c r="S63" s="354">
        <v>48292.749312449152</v>
      </c>
      <c r="T63" s="355">
        <v>0.25</v>
      </c>
      <c r="U63" s="356">
        <v>12073.187328112288</v>
      </c>
      <c r="V63" s="355">
        <v>0.25</v>
      </c>
      <c r="W63" s="356">
        <v>12073.187328112288</v>
      </c>
      <c r="X63" s="355">
        <v>0.25</v>
      </c>
      <c r="Y63" s="356">
        <v>12073.187328112288</v>
      </c>
      <c r="Z63" s="355">
        <v>0.25</v>
      </c>
      <c r="AA63" s="354">
        <v>12073.187328112288</v>
      </c>
      <c r="AB63" s="354">
        <v>1</v>
      </c>
      <c r="AC63" s="354">
        <v>48292.749312449152</v>
      </c>
      <c r="AD63" s="357"/>
      <c r="AE63" s="358" t="s">
        <v>1803</v>
      </c>
      <c r="AF63" s="346" t="s">
        <v>1983</v>
      </c>
      <c r="AG63" s="347"/>
      <c r="AH63" s="359" t="s">
        <v>1805</v>
      </c>
      <c r="AI63" s="359"/>
      <c r="AJ63" s="359" t="s">
        <v>535</v>
      </c>
      <c r="AK63" s="359" t="s">
        <v>54</v>
      </c>
      <c r="AL63" s="111"/>
    </row>
    <row r="64" spans="1:38" ht="13.5" hidden="1" customHeight="1">
      <c r="A64" s="342" t="s">
        <v>1987</v>
      </c>
      <c r="B64" s="342" t="s">
        <v>1794</v>
      </c>
      <c r="C64" s="342" t="s">
        <v>1795</v>
      </c>
      <c r="D64" s="342" t="s">
        <v>1812</v>
      </c>
      <c r="E64" s="342" t="s">
        <v>1988</v>
      </c>
      <c r="F64" s="343">
        <v>79</v>
      </c>
      <c r="G64" s="344" t="s">
        <v>508</v>
      </c>
      <c r="H64" s="345" t="s">
        <v>646</v>
      </c>
      <c r="I64" s="346" t="s">
        <v>1988</v>
      </c>
      <c r="J64" s="347" t="s">
        <v>881</v>
      </c>
      <c r="K64" s="348" t="s">
        <v>1798</v>
      </c>
      <c r="L64" s="349" t="s">
        <v>1799</v>
      </c>
      <c r="M64" s="349" t="s">
        <v>1800</v>
      </c>
      <c r="N64" s="348" t="s">
        <v>1801</v>
      </c>
      <c r="O64" s="350" t="s">
        <v>964</v>
      </c>
      <c r="P64" s="351" t="s">
        <v>873</v>
      </c>
      <c r="Q64" s="352" t="s">
        <v>1802</v>
      </c>
      <c r="R64" s="353">
        <v>219979.5</v>
      </c>
      <c r="S64" s="354">
        <v>8614.9999167791775</v>
      </c>
      <c r="T64" s="355">
        <v>0.25</v>
      </c>
      <c r="U64" s="356">
        <v>2153.7499791947944</v>
      </c>
      <c r="V64" s="355">
        <v>0.25</v>
      </c>
      <c r="W64" s="356">
        <v>2153.7499791947944</v>
      </c>
      <c r="X64" s="355">
        <v>0.25</v>
      </c>
      <c r="Y64" s="356">
        <v>2153.7499791947944</v>
      </c>
      <c r="Z64" s="355">
        <v>0.25</v>
      </c>
      <c r="AA64" s="354">
        <v>2153.7499791947944</v>
      </c>
      <c r="AB64" s="354">
        <v>1</v>
      </c>
      <c r="AC64" s="354">
        <v>8614.9999167791775</v>
      </c>
      <c r="AD64" s="357"/>
      <c r="AE64" s="358" t="s">
        <v>1803</v>
      </c>
      <c r="AF64" s="346" t="s">
        <v>1983</v>
      </c>
      <c r="AG64" s="347"/>
      <c r="AH64" s="359" t="s">
        <v>1805</v>
      </c>
      <c r="AI64" s="359"/>
      <c r="AJ64" s="359" t="s">
        <v>535</v>
      </c>
      <c r="AK64" s="359" t="s">
        <v>54</v>
      </c>
      <c r="AL64" s="111"/>
    </row>
    <row r="65" spans="1:38" ht="13.5" hidden="1" customHeight="1">
      <c r="A65" s="362" t="s">
        <v>1989</v>
      </c>
      <c r="B65" s="362" t="s">
        <v>1794</v>
      </c>
      <c r="C65" s="362" t="s">
        <v>1795</v>
      </c>
      <c r="D65" s="362" t="s">
        <v>1819</v>
      </c>
      <c r="E65" s="362" t="s">
        <v>673</v>
      </c>
      <c r="F65" s="363">
        <v>80</v>
      </c>
      <c r="G65" s="364" t="s">
        <v>508</v>
      </c>
      <c r="H65" s="365" t="s">
        <v>646</v>
      </c>
      <c r="I65" s="366" t="s">
        <v>673</v>
      </c>
      <c r="J65" s="367" t="s">
        <v>877</v>
      </c>
      <c r="K65" s="368" t="s">
        <v>1798</v>
      </c>
      <c r="L65" s="369" t="s">
        <v>1799</v>
      </c>
      <c r="M65" s="369" t="s">
        <v>1800</v>
      </c>
      <c r="N65" s="368" t="s">
        <v>1801</v>
      </c>
      <c r="O65" s="370" t="s">
        <v>789</v>
      </c>
      <c r="P65" s="371" t="s">
        <v>873</v>
      </c>
      <c r="Q65" s="372" t="s">
        <v>1802</v>
      </c>
      <c r="R65" s="373">
        <v>233400.00000000003</v>
      </c>
      <c r="S65" s="374">
        <v>9140.5834660787041</v>
      </c>
      <c r="T65" s="375">
        <v>0.25</v>
      </c>
      <c r="U65" s="376">
        <v>2285.145866519676</v>
      </c>
      <c r="V65" s="375">
        <v>0.25</v>
      </c>
      <c r="W65" s="376">
        <v>2285.145866519676</v>
      </c>
      <c r="X65" s="375">
        <v>0.25</v>
      </c>
      <c r="Y65" s="376">
        <v>2285.145866519676</v>
      </c>
      <c r="Z65" s="375">
        <v>0.25</v>
      </c>
      <c r="AA65" s="374">
        <v>2285.145866519676</v>
      </c>
      <c r="AB65" s="374">
        <v>1</v>
      </c>
      <c r="AC65" s="374">
        <v>9140.5834660787041</v>
      </c>
      <c r="AD65" s="377"/>
      <c r="AE65" s="378" t="s">
        <v>1803</v>
      </c>
      <c r="AF65" s="366" t="s">
        <v>1983</v>
      </c>
      <c r="AG65" s="347"/>
      <c r="AH65" s="359" t="s">
        <v>1805</v>
      </c>
      <c r="AI65" s="359"/>
      <c r="AJ65" s="359" t="s">
        <v>535</v>
      </c>
      <c r="AK65" s="359" t="s">
        <v>54</v>
      </c>
      <c r="AL65" s="111"/>
    </row>
    <row r="66" spans="1:38" ht="13.5" hidden="1" customHeight="1">
      <c r="A66" s="422" t="s">
        <v>1990</v>
      </c>
      <c r="B66" s="422" t="s">
        <v>1794</v>
      </c>
      <c r="C66" s="422" t="s">
        <v>1795</v>
      </c>
      <c r="D66" s="422" t="s">
        <v>1796</v>
      </c>
      <c r="E66" s="422" t="s">
        <v>1991</v>
      </c>
      <c r="F66" s="456">
        <v>81</v>
      </c>
      <c r="G66" s="424" t="s">
        <v>508</v>
      </c>
      <c r="H66" s="750" t="s">
        <v>1992</v>
      </c>
      <c r="I66" s="425" t="s">
        <v>1991</v>
      </c>
      <c r="J66" s="747" t="s">
        <v>875</v>
      </c>
      <c r="K66" s="426" t="s">
        <v>1798</v>
      </c>
      <c r="L66" s="427" t="s">
        <v>1799</v>
      </c>
      <c r="M66" s="427" t="s">
        <v>1800</v>
      </c>
      <c r="N66" s="426" t="s">
        <v>1801</v>
      </c>
      <c r="O66" s="428" t="s">
        <v>1133</v>
      </c>
      <c r="P66" s="429"/>
      <c r="Q66" s="430"/>
      <c r="R66" s="431"/>
      <c r="S66" s="432"/>
      <c r="T66" s="433"/>
      <c r="U66" s="434"/>
      <c r="V66" s="433"/>
      <c r="W66" s="434"/>
      <c r="X66" s="433"/>
      <c r="Y66" s="434"/>
      <c r="Z66" s="433"/>
      <c r="AA66" s="432"/>
      <c r="AB66" s="432"/>
      <c r="AC66" s="432"/>
      <c r="AD66" s="435"/>
      <c r="AE66" s="424"/>
      <c r="AF66" s="425"/>
      <c r="AG66" s="399"/>
      <c r="AH66" s="451" t="s">
        <v>1805</v>
      </c>
      <c r="AI66" s="451"/>
      <c r="AJ66" s="451"/>
      <c r="AK66" s="451" t="s">
        <v>1993</v>
      </c>
      <c r="AL66" s="111"/>
    </row>
    <row r="67" spans="1:38" ht="13.5" hidden="1" customHeight="1">
      <c r="A67" s="436" t="s">
        <v>1994</v>
      </c>
      <c r="B67" s="436" t="s">
        <v>1794</v>
      </c>
      <c r="C67" s="436" t="s">
        <v>1795</v>
      </c>
      <c r="D67" s="436" t="s">
        <v>1809</v>
      </c>
      <c r="E67" s="436" t="s">
        <v>1995</v>
      </c>
      <c r="F67" s="457">
        <v>82</v>
      </c>
      <c r="G67" s="438" t="s">
        <v>508</v>
      </c>
      <c r="H67" s="439" t="s">
        <v>1992</v>
      </c>
      <c r="I67" s="440" t="s">
        <v>1995</v>
      </c>
      <c r="J67" s="399" t="s">
        <v>977</v>
      </c>
      <c r="K67" s="441" t="s">
        <v>1798</v>
      </c>
      <c r="L67" s="442" t="s">
        <v>1799</v>
      </c>
      <c r="M67" s="442" t="s">
        <v>1800</v>
      </c>
      <c r="N67" s="441" t="s">
        <v>1801</v>
      </c>
      <c r="O67" s="443" t="s">
        <v>961</v>
      </c>
      <c r="P67" s="444"/>
      <c r="Q67" s="445"/>
      <c r="R67" s="446"/>
      <c r="S67" s="447"/>
      <c r="T67" s="448"/>
      <c r="U67" s="449"/>
      <c r="V67" s="448"/>
      <c r="W67" s="449"/>
      <c r="X67" s="448"/>
      <c r="Y67" s="449"/>
      <c r="Z67" s="448"/>
      <c r="AA67" s="447"/>
      <c r="AB67" s="447"/>
      <c r="AC67" s="447"/>
      <c r="AD67" s="450"/>
      <c r="AE67" s="438"/>
      <c r="AF67" s="440"/>
      <c r="AG67" s="399"/>
      <c r="AH67" s="451" t="s">
        <v>1805</v>
      </c>
      <c r="AI67" s="451"/>
      <c r="AJ67" s="451"/>
      <c r="AK67" s="451" t="s">
        <v>1993</v>
      </c>
      <c r="AL67" s="111"/>
    </row>
    <row r="68" spans="1:38" ht="13.5" hidden="1" customHeight="1">
      <c r="A68" s="436" t="s">
        <v>1996</v>
      </c>
      <c r="B68" s="436" t="s">
        <v>1794</v>
      </c>
      <c r="C68" s="436" t="s">
        <v>1795</v>
      </c>
      <c r="D68" s="436" t="s">
        <v>1812</v>
      </c>
      <c r="E68" s="436" t="s">
        <v>1997</v>
      </c>
      <c r="F68" s="437">
        <v>83</v>
      </c>
      <c r="G68" s="438" t="s">
        <v>508</v>
      </c>
      <c r="H68" s="439" t="s">
        <v>1992</v>
      </c>
      <c r="I68" s="440" t="s">
        <v>1997</v>
      </c>
      <c r="J68" s="399" t="s">
        <v>881</v>
      </c>
      <c r="K68" s="441" t="s">
        <v>1798</v>
      </c>
      <c r="L68" s="442" t="s">
        <v>1799</v>
      </c>
      <c r="M68" s="442" t="s">
        <v>1800</v>
      </c>
      <c r="N68" s="441" t="s">
        <v>1801</v>
      </c>
      <c r="O68" s="443" t="s">
        <v>964</v>
      </c>
      <c r="P68" s="444"/>
      <c r="Q68" s="445"/>
      <c r="R68" s="446"/>
      <c r="S68" s="447"/>
      <c r="T68" s="448"/>
      <c r="U68" s="449"/>
      <c r="V68" s="448"/>
      <c r="W68" s="449"/>
      <c r="X68" s="448"/>
      <c r="Y68" s="449"/>
      <c r="Z68" s="448"/>
      <c r="AA68" s="447"/>
      <c r="AB68" s="447"/>
      <c r="AC68" s="447"/>
      <c r="AD68" s="450"/>
      <c r="AE68" s="438"/>
      <c r="AF68" s="440"/>
      <c r="AG68" s="399"/>
      <c r="AH68" s="451" t="s">
        <v>1805</v>
      </c>
      <c r="AI68" s="451"/>
      <c r="AJ68" s="451"/>
      <c r="AK68" s="451" t="s">
        <v>1993</v>
      </c>
      <c r="AL68" s="111"/>
    </row>
    <row r="69" spans="1:38" ht="13.5" hidden="1" customHeight="1">
      <c r="A69" s="436" t="s">
        <v>1998</v>
      </c>
      <c r="B69" s="436" t="s">
        <v>1794</v>
      </c>
      <c r="C69" s="436" t="s">
        <v>1795</v>
      </c>
      <c r="D69" s="436" t="s">
        <v>1796</v>
      </c>
      <c r="E69" s="436" t="s">
        <v>1999</v>
      </c>
      <c r="F69" s="437">
        <v>84</v>
      </c>
      <c r="G69" s="438" t="s">
        <v>508</v>
      </c>
      <c r="H69" s="439" t="s">
        <v>509</v>
      </c>
      <c r="I69" s="440" t="s">
        <v>1999</v>
      </c>
      <c r="J69" s="399" t="s">
        <v>875</v>
      </c>
      <c r="K69" s="441" t="s">
        <v>1798</v>
      </c>
      <c r="L69" s="442" t="s">
        <v>1799</v>
      </c>
      <c r="M69" s="442" t="s">
        <v>1800</v>
      </c>
      <c r="N69" s="441" t="s">
        <v>1801</v>
      </c>
      <c r="O69" s="443" t="s">
        <v>1133</v>
      </c>
      <c r="P69" s="444"/>
      <c r="Q69" s="445"/>
      <c r="R69" s="446"/>
      <c r="S69" s="447"/>
      <c r="T69" s="448"/>
      <c r="U69" s="449"/>
      <c r="V69" s="448"/>
      <c r="W69" s="449"/>
      <c r="X69" s="448"/>
      <c r="Y69" s="449"/>
      <c r="Z69" s="448"/>
      <c r="AA69" s="447"/>
      <c r="AB69" s="447"/>
      <c r="AC69" s="447"/>
      <c r="AD69" s="450"/>
      <c r="AE69" s="438"/>
      <c r="AF69" s="440"/>
      <c r="AG69" s="399"/>
      <c r="AH69" s="451" t="s">
        <v>1805</v>
      </c>
      <c r="AI69" s="451"/>
      <c r="AJ69" s="451"/>
      <c r="AK69" s="451" t="s">
        <v>1993</v>
      </c>
      <c r="AL69" s="111"/>
    </row>
    <row r="70" spans="1:38" ht="13.5" hidden="1" customHeight="1">
      <c r="A70" s="436" t="s">
        <v>2000</v>
      </c>
      <c r="B70" s="436" t="s">
        <v>1794</v>
      </c>
      <c r="C70" s="436" t="s">
        <v>1795</v>
      </c>
      <c r="D70" s="436" t="s">
        <v>1809</v>
      </c>
      <c r="E70" s="436" t="s">
        <v>2001</v>
      </c>
      <c r="F70" s="457">
        <v>85</v>
      </c>
      <c r="G70" s="438" t="s">
        <v>508</v>
      </c>
      <c r="H70" s="439" t="s">
        <v>509</v>
      </c>
      <c r="I70" s="440" t="s">
        <v>2001</v>
      </c>
      <c r="J70" s="399" t="s">
        <v>977</v>
      </c>
      <c r="K70" s="441" t="s">
        <v>1798</v>
      </c>
      <c r="L70" s="442" t="s">
        <v>1799</v>
      </c>
      <c r="M70" s="442" t="s">
        <v>1800</v>
      </c>
      <c r="N70" s="441" t="s">
        <v>1801</v>
      </c>
      <c r="O70" s="443" t="s">
        <v>961</v>
      </c>
      <c r="P70" s="444"/>
      <c r="Q70" s="445"/>
      <c r="R70" s="446"/>
      <c r="S70" s="447"/>
      <c r="T70" s="448"/>
      <c r="U70" s="449"/>
      <c r="V70" s="448"/>
      <c r="W70" s="449"/>
      <c r="X70" s="448"/>
      <c r="Y70" s="449"/>
      <c r="Z70" s="448"/>
      <c r="AA70" s="447"/>
      <c r="AB70" s="447"/>
      <c r="AC70" s="447"/>
      <c r="AD70" s="450"/>
      <c r="AE70" s="438"/>
      <c r="AF70" s="440"/>
      <c r="AG70" s="399"/>
      <c r="AH70" s="451" t="s">
        <v>1805</v>
      </c>
      <c r="AI70" s="451"/>
      <c r="AJ70" s="451"/>
      <c r="AK70" s="451" t="s">
        <v>1993</v>
      </c>
      <c r="AL70" s="111"/>
    </row>
    <row r="71" spans="1:38" ht="13.5" hidden="1" customHeight="1">
      <c r="A71" s="436" t="s">
        <v>2002</v>
      </c>
      <c r="B71" s="436" t="s">
        <v>1794</v>
      </c>
      <c r="C71" s="436" t="s">
        <v>1795</v>
      </c>
      <c r="D71" s="436" t="s">
        <v>1812</v>
      </c>
      <c r="E71" s="436" t="s">
        <v>2003</v>
      </c>
      <c r="F71" s="437">
        <v>86</v>
      </c>
      <c r="G71" s="438" t="s">
        <v>508</v>
      </c>
      <c r="H71" s="439" t="s">
        <v>509</v>
      </c>
      <c r="I71" s="440" t="s">
        <v>2003</v>
      </c>
      <c r="J71" s="399" t="s">
        <v>881</v>
      </c>
      <c r="K71" s="441" t="s">
        <v>1798</v>
      </c>
      <c r="L71" s="442" t="s">
        <v>1799</v>
      </c>
      <c r="M71" s="442" t="s">
        <v>1800</v>
      </c>
      <c r="N71" s="441" t="s">
        <v>1801</v>
      </c>
      <c r="O71" s="443" t="s">
        <v>964</v>
      </c>
      <c r="P71" s="444"/>
      <c r="Q71" s="445"/>
      <c r="R71" s="446"/>
      <c r="S71" s="447"/>
      <c r="T71" s="448"/>
      <c r="U71" s="449"/>
      <c r="V71" s="448"/>
      <c r="W71" s="449"/>
      <c r="X71" s="448"/>
      <c r="Y71" s="449"/>
      <c r="Z71" s="448"/>
      <c r="AA71" s="447"/>
      <c r="AB71" s="447"/>
      <c r="AC71" s="447"/>
      <c r="AD71" s="450"/>
      <c r="AE71" s="438"/>
      <c r="AF71" s="440"/>
      <c r="AG71" s="399"/>
      <c r="AH71" s="451" t="s">
        <v>1805</v>
      </c>
      <c r="AI71" s="451"/>
      <c r="AJ71" s="451"/>
      <c r="AK71" s="451" t="s">
        <v>1993</v>
      </c>
      <c r="AL71" s="111"/>
    </row>
    <row r="72" spans="1:38" ht="13.5" hidden="1" customHeight="1">
      <c r="A72" s="436" t="s">
        <v>2004</v>
      </c>
      <c r="B72" s="436" t="s">
        <v>1794</v>
      </c>
      <c r="C72" s="436" t="s">
        <v>1795</v>
      </c>
      <c r="D72" s="436" t="s">
        <v>1895</v>
      </c>
      <c r="E72" s="436" t="s">
        <v>2005</v>
      </c>
      <c r="F72" s="437">
        <v>87</v>
      </c>
      <c r="G72" s="438" t="s">
        <v>508</v>
      </c>
      <c r="H72" s="439" t="s">
        <v>509</v>
      </c>
      <c r="I72" s="440" t="s">
        <v>2005</v>
      </c>
      <c r="J72" s="399" t="s">
        <v>994</v>
      </c>
      <c r="K72" s="441" t="s">
        <v>1798</v>
      </c>
      <c r="L72" s="442" t="s">
        <v>1799</v>
      </c>
      <c r="M72" s="442" t="s">
        <v>1800</v>
      </c>
      <c r="N72" s="441" t="s">
        <v>1801</v>
      </c>
      <c r="O72" s="443" t="s">
        <v>789</v>
      </c>
      <c r="P72" s="444"/>
      <c r="Q72" s="445"/>
      <c r="R72" s="446"/>
      <c r="S72" s="447"/>
      <c r="T72" s="448"/>
      <c r="U72" s="449"/>
      <c r="V72" s="448"/>
      <c r="W72" s="449"/>
      <c r="X72" s="448"/>
      <c r="Y72" s="449"/>
      <c r="Z72" s="448"/>
      <c r="AA72" s="447"/>
      <c r="AB72" s="447"/>
      <c r="AC72" s="447"/>
      <c r="AD72" s="450"/>
      <c r="AE72" s="438"/>
      <c r="AF72" s="440"/>
      <c r="AG72" s="399"/>
      <c r="AH72" s="451" t="s">
        <v>1805</v>
      </c>
      <c r="AI72" s="451"/>
      <c r="AJ72" s="451"/>
      <c r="AK72" s="451" t="s">
        <v>1993</v>
      </c>
      <c r="AL72" s="111"/>
    </row>
    <row r="73" spans="1:38" ht="13.5" hidden="1" customHeight="1">
      <c r="A73" s="436" t="s">
        <v>2006</v>
      </c>
      <c r="B73" s="436" t="s">
        <v>1794</v>
      </c>
      <c r="C73" s="436" t="s">
        <v>1795</v>
      </c>
      <c r="D73" s="436" t="s">
        <v>2007</v>
      </c>
      <c r="E73" s="436" t="s">
        <v>2005</v>
      </c>
      <c r="F73" s="457">
        <v>88</v>
      </c>
      <c r="G73" s="438" t="s">
        <v>508</v>
      </c>
      <c r="H73" s="439" t="s">
        <v>509</v>
      </c>
      <c r="I73" s="440" t="s">
        <v>2005</v>
      </c>
      <c r="J73" s="399" t="s">
        <v>2008</v>
      </c>
      <c r="K73" s="441" t="s">
        <v>1798</v>
      </c>
      <c r="L73" s="442" t="s">
        <v>1799</v>
      </c>
      <c r="M73" s="442" t="s">
        <v>1800</v>
      </c>
      <c r="N73" s="441" t="s">
        <v>1801</v>
      </c>
      <c r="O73" s="443" t="s">
        <v>789</v>
      </c>
      <c r="P73" s="444"/>
      <c r="Q73" s="445"/>
      <c r="R73" s="446"/>
      <c r="S73" s="447"/>
      <c r="T73" s="448"/>
      <c r="U73" s="449"/>
      <c r="V73" s="448"/>
      <c r="W73" s="449"/>
      <c r="X73" s="448"/>
      <c r="Y73" s="449"/>
      <c r="Z73" s="448"/>
      <c r="AA73" s="447"/>
      <c r="AB73" s="447"/>
      <c r="AC73" s="447"/>
      <c r="AD73" s="450"/>
      <c r="AE73" s="438"/>
      <c r="AF73" s="440"/>
      <c r="AG73" s="399"/>
      <c r="AH73" s="451" t="s">
        <v>1805</v>
      </c>
      <c r="AI73" s="451"/>
      <c r="AJ73" s="451"/>
      <c r="AK73" s="451" t="s">
        <v>1993</v>
      </c>
      <c r="AL73" s="111"/>
    </row>
    <row r="74" spans="1:38" ht="13.5" hidden="1" customHeight="1">
      <c r="A74" s="458" t="s">
        <v>2009</v>
      </c>
      <c r="B74" s="458" t="s">
        <v>1794</v>
      </c>
      <c r="C74" s="458" t="s">
        <v>1795</v>
      </c>
      <c r="D74" s="458" t="s">
        <v>1869</v>
      </c>
      <c r="E74" s="458" t="s">
        <v>2010</v>
      </c>
      <c r="F74" s="459">
        <v>89</v>
      </c>
      <c r="G74" s="460" t="s">
        <v>508</v>
      </c>
      <c r="H74" s="461" t="s">
        <v>509</v>
      </c>
      <c r="I74" s="462" t="s">
        <v>2010</v>
      </c>
      <c r="J74" s="401" t="s">
        <v>1392</v>
      </c>
      <c r="K74" s="463" t="s">
        <v>1798</v>
      </c>
      <c r="L74" s="464" t="s">
        <v>1799</v>
      </c>
      <c r="M74" s="464" t="s">
        <v>1800</v>
      </c>
      <c r="N74" s="463" t="s">
        <v>1801</v>
      </c>
      <c r="O74" s="465" t="s">
        <v>789</v>
      </c>
      <c r="P74" s="466"/>
      <c r="Q74" s="467"/>
      <c r="R74" s="468"/>
      <c r="S74" s="469"/>
      <c r="T74" s="470"/>
      <c r="U74" s="471"/>
      <c r="V74" s="470"/>
      <c r="W74" s="471"/>
      <c r="X74" s="470"/>
      <c r="Y74" s="471"/>
      <c r="Z74" s="470"/>
      <c r="AA74" s="469"/>
      <c r="AB74" s="469"/>
      <c r="AC74" s="469"/>
      <c r="AD74" s="472"/>
      <c r="AE74" s="460"/>
      <c r="AF74" s="462"/>
      <c r="AG74" s="399"/>
      <c r="AH74" s="451" t="s">
        <v>1805</v>
      </c>
      <c r="AI74" s="451"/>
      <c r="AJ74" s="451"/>
      <c r="AK74" s="451" t="s">
        <v>1993</v>
      </c>
      <c r="AL74" s="111"/>
    </row>
    <row r="75" spans="1:38" ht="13.5" hidden="1" customHeight="1">
      <c r="A75" s="380" t="s">
        <v>2011</v>
      </c>
      <c r="B75" s="380" t="s">
        <v>1794</v>
      </c>
      <c r="C75" s="380" t="s">
        <v>1795</v>
      </c>
      <c r="D75" s="380" t="s">
        <v>1796</v>
      </c>
      <c r="E75" s="380" t="s">
        <v>2012</v>
      </c>
      <c r="F75" s="381">
        <v>90</v>
      </c>
      <c r="G75" s="382" t="s">
        <v>508</v>
      </c>
      <c r="H75" s="743" t="s">
        <v>573</v>
      </c>
      <c r="I75" s="383" t="s">
        <v>2012</v>
      </c>
      <c r="J75" s="744" t="s">
        <v>875</v>
      </c>
      <c r="K75" s="384" t="s">
        <v>1798</v>
      </c>
      <c r="L75" s="385" t="s">
        <v>1799</v>
      </c>
      <c r="M75" s="385" t="s">
        <v>1800</v>
      </c>
      <c r="N75" s="384" t="s">
        <v>1801</v>
      </c>
      <c r="O75" s="386" t="s">
        <v>1133</v>
      </c>
      <c r="P75" s="387" t="s">
        <v>873</v>
      </c>
      <c r="Q75" s="388" t="s">
        <v>1802</v>
      </c>
      <c r="R75" s="389">
        <v>150000</v>
      </c>
      <c r="S75" s="390">
        <v>5874.4109679169042</v>
      </c>
      <c r="T75" s="391">
        <v>0.25</v>
      </c>
      <c r="U75" s="392">
        <v>1468.602741979226</v>
      </c>
      <c r="V75" s="391">
        <v>0.25</v>
      </c>
      <c r="W75" s="392">
        <v>1468.602741979226</v>
      </c>
      <c r="X75" s="391">
        <v>0.25</v>
      </c>
      <c r="Y75" s="392">
        <v>1468.602741979226</v>
      </c>
      <c r="Z75" s="391">
        <v>0.25</v>
      </c>
      <c r="AA75" s="390">
        <v>1468.602741979226</v>
      </c>
      <c r="AB75" s="390">
        <v>1</v>
      </c>
      <c r="AC75" s="390">
        <v>5874.4109679169042</v>
      </c>
      <c r="AD75" s="393"/>
      <c r="AE75" s="394" t="s">
        <v>1803</v>
      </c>
      <c r="AF75" s="383" t="s">
        <v>2013</v>
      </c>
      <c r="AG75" s="347"/>
      <c r="AH75" s="359" t="s">
        <v>1805</v>
      </c>
      <c r="AI75" s="347" t="s">
        <v>1886</v>
      </c>
      <c r="AJ75" s="347" t="s">
        <v>561</v>
      </c>
      <c r="AK75" s="359" t="s">
        <v>222</v>
      </c>
      <c r="AL75" s="111"/>
    </row>
    <row r="76" spans="1:38" ht="13.5" hidden="1" customHeight="1">
      <c r="A76" s="342" t="s">
        <v>2014</v>
      </c>
      <c r="B76" s="342" t="s">
        <v>1794</v>
      </c>
      <c r="C76" s="342" t="s">
        <v>1795</v>
      </c>
      <c r="D76" s="342" t="s">
        <v>1812</v>
      </c>
      <c r="E76" s="342" t="s">
        <v>2015</v>
      </c>
      <c r="F76" s="343">
        <v>91</v>
      </c>
      <c r="G76" s="344" t="s">
        <v>508</v>
      </c>
      <c r="H76" s="345" t="s">
        <v>573</v>
      </c>
      <c r="I76" s="346" t="s">
        <v>2015</v>
      </c>
      <c r="J76" s="347" t="s">
        <v>881</v>
      </c>
      <c r="K76" s="348" t="s">
        <v>1798</v>
      </c>
      <c r="L76" s="349" t="s">
        <v>1799</v>
      </c>
      <c r="M76" s="349" t="s">
        <v>1800</v>
      </c>
      <c r="N76" s="348" t="s">
        <v>1801</v>
      </c>
      <c r="O76" s="350" t="s">
        <v>964</v>
      </c>
      <c r="P76" s="351" t="s">
        <v>873</v>
      </c>
      <c r="Q76" s="352" t="s">
        <v>1802</v>
      </c>
      <c r="R76" s="353">
        <v>100000</v>
      </c>
      <c r="S76" s="354">
        <v>3916.2739786112697</v>
      </c>
      <c r="T76" s="355">
        <v>0.25</v>
      </c>
      <c r="U76" s="356">
        <v>979.06849465281744</v>
      </c>
      <c r="V76" s="355">
        <v>0.25</v>
      </c>
      <c r="W76" s="356">
        <v>979.06849465281744</v>
      </c>
      <c r="X76" s="355">
        <v>0.25</v>
      </c>
      <c r="Y76" s="356">
        <v>979.06849465281744</v>
      </c>
      <c r="Z76" s="355">
        <v>0.25</v>
      </c>
      <c r="AA76" s="354">
        <v>979.06849465281744</v>
      </c>
      <c r="AB76" s="354">
        <v>1</v>
      </c>
      <c r="AC76" s="354">
        <v>3916.2739786112697</v>
      </c>
      <c r="AD76" s="357"/>
      <c r="AE76" s="358" t="s">
        <v>1803</v>
      </c>
      <c r="AF76" s="346" t="s">
        <v>2013</v>
      </c>
      <c r="AG76" s="347"/>
      <c r="AH76" s="359" t="s">
        <v>1805</v>
      </c>
      <c r="AI76" s="347" t="s">
        <v>1886</v>
      </c>
      <c r="AJ76" s="347" t="s">
        <v>561</v>
      </c>
      <c r="AK76" s="359" t="s">
        <v>222</v>
      </c>
      <c r="AL76" s="111"/>
    </row>
    <row r="77" spans="1:38" ht="13.5" hidden="1" customHeight="1">
      <c r="A77" s="362" t="s">
        <v>2016</v>
      </c>
      <c r="B77" s="362" t="s">
        <v>1794</v>
      </c>
      <c r="C77" s="362" t="s">
        <v>1795</v>
      </c>
      <c r="D77" s="362" t="s">
        <v>1895</v>
      </c>
      <c r="E77" s="362" t="s">
        <v>2017</v>
      </c>
      <c r="F77" s="363">
        <v>92</v>
      </c>
      <c r="G77" s="364" t="s">
        <v>508</v>
      </c>
      <c r="H77" s="365" t="s">
        <v>573</v>
      </c>
      <c r="I77" s="366" t="s">
        <v>2017</v>
      </c>
      <c r="J77" s="367" t="s">
        <v>994</v>
      </c>
      <c r="K77" s="368" t="s">
        <v>1798</v>
      </c>
      <c r="L77" s="369" t="s">
        <v>1799</v>
      </c>
      <c r="M77" s="369" t="s">
        <v>1800</v>
      </c>
      <c r="N77" s="368" t="s">
        <v>1801</v>
      </c>
      <c r="O77" s="370" t="s">
        <v>789</v>
      </c>
      <c r="P77" s="371" t="s">
        <v>873</v>
      </c>
      <c r="Q77" s="372" t="s">
        <v>1802</v>
      </c>
      <c r="R77" s="373">
        <v>1000000</v>
      </c>
      <c r="S77" s="374">
        <v>39162.739786112696</v>
      </c>
      <c r="T77" s="375">
        <v>0.25</v>
      </c>
      <c r="U77" s="376">
        <v>9790.6849465281739</v>
      </c>
      <c r="V77" s="375">
        <v>0.25</v>
      </c>
      <c r="W77" s="376">
        <v>9790.6849465281739</v>
      </c>
      <c r="X77" s="375">
        <v>0.25</v>
      </c>
      <c r="Y77" s="376">
        <v>9790.6849465281739</v>
      </c>
      <c r="Z77" s="375">
        <v>0.25</v>
      </c>
      <c r="AA77" s="374">
        <v>9790.6849465281739</v>
      </c>
      <c r="AB77" s="374">
        <v>1</v>
      </c>
      <c r="AC77" s="374">
        <v>39162.739786112696</v>
      </c>
      <c r="AD77" s="377"/>
      <c r="AE77" s="378" t="s">
        <v>1803</v>
      </c>
      <c r="AF77" s="366" t="s">
        <v>2013</v>
      </c>
      <c r="AG77" s="347"/>
      <c r="AH77" s="359" t="s">
        <v>1805</v>
      </c>
      <c r="AI77" s="347" t="s">
        <v>1886</v>
      </c>
      <c r="AJ77" s="347" t="s">
        <v>561</v>
      </c>
      <c r="AK77" s="359" t="s">
        <v>222</v>
      </c>
      <c r="AL77" s="111"/>
    </row>
    <row r="78" spans="1:38" ht="13.5" hidden="1" customHeight="1">
      <c r="A78" s="380" t="s">
        <v>2018</v>
      </c>
      <c r="B78" s="380" t="s">
        <v>1794</v>
      </c>
      <c r="C78" s="380" t="s">
        <v>1795</v>
      </c>
      <c r="D78" s="380" t="s">
        <v>1809</v>
      </c>
      <c r="E78" s="380" t="s">
        <v>2019</v>
      </c>
      <c r="F78" s="381">
        <v>93</v>
      </c>
      <c r="G78" s="382" t="s">
        <v>508</v>
      </c>
      <c r="H78" s="743" t="s">
        <v>509</v>
      </c>
      <c r="I78" s="383" t="s">
        <v>2019</v>
      </c>
      <c r="J78" s="744" t="s">
        <v>977</v>
      </c>
      <c r="K78" s="384" t="s">
        <v>1798</v>
      </c>
      <c r="L78" s="385" t="s">
        <v>1799</v>
      </c>
      <c r="M78" s="385" t="s">
        <v>1800</v>
      </c>
      <c r="N78" s="384" t="s">
        <v>1801</v>
      </c>
      <c r="O78" s="386" t="s">
        <v>961</v>
      </c>
      <c r="P78" s="387" t="s">
        <v>873</v>
      </c>
      <c r="Q78" s="388" t="s">
        <v>1802</v>
      </c>
      <c r="R78" s="389">
        <v>1074362.865</v>
      </c>
      <c r="S78" s="390">
        <v>42074.993317857523</v>
      </c>
      <c r="T78" s="391">
        <v>0.25</v>
      </c>
      <c r="U78" s="392">
        <v>10518.748329464381</v>
      </c>
      <c r="V78" s="391">
        <v>0.25</v>
      </c>
      <c r="W78" s="392">
        <v>10518.748329464381</v>
      </c>
      <c r="X78" s="391">
        <v>0.25</v>
      </c>
      <c r="Y78" s="392">
        <v>10518.748329464381</v>
      </c>
      <c r="Z78" s="391">
        <v>0.25</v>
      </c>
      <c r="AA78" s="390">
        <v>10518.748329464381</v>
      </c>
      <c r="AB78" s="390">
        <v>1</v>
      </c>
      <c r="AC78" s="390">
        <v>42074.993317857523</v>
      </c>
      <c r="AD78" s="393"/>
      <c r="AE78" s="394" t="s">
        <v>1803</v>
      </c>
      <c r="AF78" s="383" t="s">
        <v>2020</v>
      </c>
      <c r="AG78" s="347"/>
      <c r="AH78" s="359" t="s">
        <v>1805</v>
      </c>
      <c r="AI78" s="347" t="s">
        <v>1886</v>
      </c>
      <c r="AJ78" s="347" t="s">
        <v>561</v>
      </c>
      <c r="AK78" s="359" t="s">
        <v>225</v>
      </c>
      <c r="AL78" s="111"/>
    </row>
    <row r="79" spans="1:38" ht="13.5" hidden="1" customHeight="1">
      <c r="A79" s="342" t="s">
        <v>2021</v>
      </c>
      <c r="B79" s="342" t="s">
        <v>1794</v>
      </c>
      <c r="C79" s="342" t="s">
        <v>1795</v>
      </c>
      <c r="D79" s="342" t="s">
        <v>1923</v>
      </c>
      <c r="E79" s="342" t="s">
        <v>2022</v>
      </c>
      <c r="F79" s="343">
        <v>94</v>
      </c>
      <c r="G79" s="344" t="s">
        <v>508</v>
      </c>
      <c r="H79" s="345" t="s">
        <v>509</v>
      </c>
      <c r="I79" s="346" t="s">
        <v>2022</v>
      </c>
      <c r="J79" s="347" t="s">
        <v>950</v>
      </c>
      <c r="K79" s="348" t="s">
        <v>1798</v>
      </c>
      <c r="L79" s="349" t="s">
        <v>1799</v>
      </c>
      <c r="M79" s="349" t="s">
        <v>1800</v>
      </c>
      <c r="N79" s="348" t="s">
        <v>1801</v>
      </c>
      <c r="O79" s="350" t="s">
        <v>951</v>
      </c>
      <c r="P79" s="351" t="s">
        <v>873</v>
      </c>
      <c r="Q79" s="352" t="s">
        <v>1802</v>
      </c>
      <c r="R79" s="353">
        <v>128780.85000000002</v>
      </c>
      <c r="S79" s="354">
        <v>5043.4109179844118</v>
      </c>
      <c r="T79" s="355">
        <v>0.25</v>
      </c>
      <c r="U79" s="356">
        <v>1260.8527294961029</v>
      </c>
      <c r="V79" s="355">
        <v>0.25</v>
      </c>
      <c r="W79" s="356">
        <v>1260.8527294961029</v>
      </c>
      <c r="X79" s="355">
        <v>0.25</v>
      </c>
      <c r="Y79" s="356">
        <v>1260.8527294961029</v>
      </c>
      <c r="Z79" s="355">
        <v>0.25</v>
      </c>
      <c r="AA79" s="354">
        <v>1260.8527294961029</v>
      </c>
      <c r="AB79" s="354">
        <v>1</v>
      </c>
      <c r="AC79" s="354">
        <v>5043.4109179844118</v>
      </c>
      <c r="AD79" s="357"/>
      <c r="AE79" s="358" t="s">
        <v>1803</v>
      </c>
      <c r="AF79" s="346" t="s">
        <v>2023</v>
      </c>
      <c r="AG79" s="347"/>
      <c r="AH79" s="359" t="s">
        <v>1805</v>
      </c>
      <c r="AI79" s="399" t="s">
        <v>1856</v>
      </c>
      <c r="AJ79" s="400" t="s">
        <v>561</v>
      </c>
      <c r="AK79" s="359" t="s">
        <v>680</v>
      </c>
      <c r="AL79" s="111"/>
    </row>
    <row r="80" spans="1:38" ht="13.5" hidden="1" customHeight="1">
      <c r="A80" s="342" t="s">
        <v>2024</v>
      </c>
      <c r="B80" s="342" t="s">
        <v>1794</v>
      </c>
      <c r="C80" s="342" t="s">
        <v>1795</v>
      </c>
      <c r="D80" s="342" t="s">
        <v>2025</v>
      </c>
      <c r="E80" s="342" t="s">
        <v>2026</v>
      </c>
      <c r="F80" s="361">
        <v>95</v>
      </c>
      <c r="G80" s="344" t="s">
        <v>508</v>
      </c>
      <c r="H80" s="345" t="s">
        <v>509</v>
      </c>
      <c r="I80" s="346" t="s">
        <v>2026</v>
      </c>
      <c r="J80" s="347" t="s">
        <v>813</v>
      </c>
      <c r="K80" s="348" t="s">
        <v>1798</v>
      </c>
      <c r="L80" s="349" t="s">
        <v>1799</v>
      </c>
      <c r="M80" s="349" t="s">
        <v>1800</v>
      </c>
      <c r="N80" s="348" t="s">
        <v>1801</v>
      </c>
      <c r="O80" s="350" t="s">
        <v>1094</v>
      </c>
      <c r="P80" s="351" t="s">
        <v>873</v>
      </c>
      <c r="Q80" s="352" t="s">
        <v>1802</v>
      </c>
      <c r="R80" s="353">
        <v>44978.467022999997</v>
      </c>
      <c r="S80" s="354">
        <v>1761.4799999999998</v>
      </c>
      <c r="T80" s="355">
        <v>0.25</v>
      </c>
      <c r="U80" s="356">
        <v>440.36999999999995</v>
      </c>
      <c r="V80" s="355">
        <v>0.25</v>
      </c>
      <c r="W80" s="356">
        <v>440.36999999999995</v>
      </c>
      <c r="X80" s="355">
        <v>0.25</v>
      </c>
      <c r="Y80" s="356">
        <v>440.36999999999995</v>
      </c>
      <c r="Z80" s="355">
        <v>0.25</v>
      </c>
      <c r="AA80" s="354">
        <v>440.36999999999995</v>
      </c>
      <c r="AB80" s="354">
        <v>1</v>
      </c>
      <c r="AC80" s="354">
        <v>1761.4799999999998</v>
      </c>
      <c r="AD80" s="357"/>
      <c r="AE80" s="358" t="s">
        <v>1803</v>
      </c>
      <c r="AF80" s="346" t="s">
        <v>2023</v>
      </c>
      <c r="AG80" s="347"/>
      <c r="AH80" s="359" t="s">
        <v>1805</v>
      </c>
      <c r="AI80" s="399" t="s">
        <v>1856</v>
      </c>
      <c r="AJ80" s="400" t="s">
        <v>561</v>
      </c>
      <c r="AK80" s="359" t="s">
        <v>680</v>
      </c>
      <c r="AL80" s="111"/>
    </row>
    <row r="81" spans="1:38" ht="13.5" hidden="1" customHeight="1">
      <c r="A81" s="362" t="s">
        <v>2027</v>
      </c>
      <c r="B81" s="362" t="s">
        <v>1794</v>
      </c>
      <c r="C81" s="362" t="s">
        <v>1795</v>
      </c>
      <c r="D81" s="362" t="s">
        <v>1865</v>
      </c>
      <c r="E81" s="362" t="s">
        <v>2028</v>
      </c>
      <c r="F81" s="363">
        <v>96</v>
      </c>
      <c r="G81" s="364" t="s">
        <v>508</v>
      </c>
      <c r="H81" s="365" t="s">
        <v>509</v>
      </c>
      <c r="I81" s="366" t="s">
        <v>2028</v>
      </c>
      <c r="J81" s="367" t="s">
        <v>848</v>
      </c>
      <c r="K81" s="368" t="s">
        <v>1798</v>
      </c>
      <c r="L81" s="369" t="s">
        <v>1799</v>
      </c>
      <c r="M81" s="369" t="s">
        <v>1800</v>
      </c>
      <c r="N81" s="368" t="s">
        <v>1801</v>
      </c>
      <c r="O81" s="370" t="s">
        <v>947</v>
      </c>
      <c r="P81" s="371" t="s">
        <v>873</v>
      </c>
      <c r="Q81" s="372" t="s">
        <v>1802</v>
      </c>
      <c r="R81" s="373">
        <v>37287.035115000006</v>
      </c>
      <c r="S81" s="374">
        <v>1460.262453604392</v>
      </c>
      <c r="T81" s="375">
        <v>0.25</v>
      </c>
      <c r="U81" s="376">
        <v>365.06561340109801</v>
      </c>
      <c r="V81" s="375">
        <v>0.25</v>
      </c>
      <c r="W81" s="376">
        <v>365.06561340109801</v>
      </c>
      <c r="X81" s="375">
        <v>0.25</v>
      </c>
      <c r="Y81" s="376">
        <v>365.06561340109801</v>
      </c>
      <c r="Z81" s="375">
        <v>0.25</v>
      </c>
      <c r="AA81" s="374">
        <v>365.06561340109801</v>
      </c>
      <c r="AB81" s="374">
        <v>1</v>
      </c>
      <c r="AC81" s="374">
        <v>1460.262453604392</v>
      </c>
      <c r="AD81" s="377"/>
      <c r="AE81" s="378" t="s">
        <v>1803</v>
      </c>
      <c r="AF81" s="366" t="s">
        <v>2023</v>
      </c>
      <c r="AG81" s="347"/>
      <c r="AH81" s="359" t="s">
        <v>1805</v>
      </c>
      <c r="AI81" s="399" t="s">
        <v>1856</v>
      </c>
      <c r="AJ81" s="400" t="s">
        <v>561</v>
      </c>
      <c r="AK81" s="359" t="s">
        <v>680</v>
      </c>
      <c r="AL81" s="111"/>
    </row>
    <row r="82" spans="1:38" ht="13.5" hidden="1" customHeight="1">
      <c r="A82" s="380" t="s">
        <v>2029</v>
      </c>
      <c r="B82" s="380" t="s">
        <v>1794</v>
      </c>
      <c r="C82" s="380" t="s">
        <v>1795</v>
      </c>
      <c r="D82" s="380" t="s">
        <v>1796</v>
      </c>
      <c r="E82" s="380" t="s">
        <v>2030</v>
      </c>
      <c r="F82" s="454">
        <v>97</v>
      </c>
      <c r="G82" s="382" t="s">
        <v>508</v>
      </c>
      <c r="H82" s="743" t="s">
        <v>573</v>
      </c>
      <c r="I82" s="383" t="s">
        <v>2030</v>
      </c>
      <c r="J82" s="744" t="s">
        <v>875</v>
      </c>
      <c r="K82" s="384" t="s">
        <v>1798</v>
      </c>
      <c r="L82" s="385" t="s">
        <v>1799</v>
      </c>
      <c r="M82" s="385" t="s">
        <v>1800</v>
      </c>
      <c r="N82" s="384" t="s">
        <v>1801</v>
      </c>
      <c r="O82" s="386" t="s">
        <v>1133</v>
      </c>
      <c r="P82" s="387" t="s">
        <v>873</v>
      </c>
      <c r="Q82" s="388" t="s">
        <v>1802</v>
      </c>
      <c r="R82" s="389">
        <v>308240.20500000002</v>
      </c>
      <c r="S82" s="390">
        <v>12071.530940033033</v>
      </c>
      <c r="T82" s="391">
        <v>0.25</v>
      </c>
      <c r="U82" s="392">
        <v>3017.8827350082584</v>
      </c>
      <c r="V82" s="391">
        <v>0.25</v>
      </c>
      <c r="W82" s="392">
        <v>3017.8827350082584</v>
      </c>
      <c r="X82" s="391">
        <v>0.25</v>
      </c>
      <c r="Y82" s="392">
        <v>3017.8827350082584</v>
      </c>
      <c r="Z82" s="391">
        <v>0.25</v>
      </c>
      <c r="AA82" s="390">
        <v>3017.8827350082584</v>
      </c>
      <c r="AB82" s="390">
        <v>1</v>
      </c>
      <c r="AC82" s="390">
        <v>12071.530940033033</v>
      </c>
      <c r="AD82" s="393"/>
      <c r="AE82" s="394" t="s">
        <v>1803</v>
      </c>
      <c r="AF82" s="383" t="s">
        <v>2031</v>
      </c>
      <c r="AG82" s="347"/>
      <c r="AH82" s="359" t="s">
        <v>1805</v>
      </c>
      <c r="AI82" s="347" t="s">
        <v>1886</v>
      </c>
      <c r="AJ82" s="347" t="s">
        <v>561</v>
      </c>
      <c r="AK82" s="455" t="s">
        <v>2032</v>
      </c>
      <c r="AL82" s="111"/>
    </row>
    <row r="83" spans="1:38" ht="13.5" hidden="1" customHeight="1">
      <c r="A83" s="342" t="s">
        <v>2033</v>
      </c>
      <c r="B83" s="342" t="s">
        <v>1794</v>
      </c>
      <c r="C83" s="342" t="s">
        <v>1795</v>
      </c>
      <c r="D83" s="342" t="s">
        <v>1812</v>
      </c>
      <c r="E83" s="342" t="s">
        <v>2034</v>
      </c>
      <c r="F83" s="361">
        <v>98</v>
      </c>
      <c r="G83" s="344" t="s">
        <v>508</v>
      </c>
      <c r="H83" s="345" t="s">
        <v>573</v>
      </c>
      <c r="I83" s="346" t="s">
        <v>2034</v>
      </c>
      <c r="J83" s="347" t="s">
        <v>881</v>
      </c>
      <c r="K83" s="348" t="s">
        <v>1798</v>
      </c>
      <c r="L83" s="349" t="s">
        <v>1799</v>
      </c>
      <c r="M83" s="349" t="s">
        <v>1800</v>
      </c>
      <c r="N83" s="348" t="s">
        <v>1801</v>
      </c>
      <c r="O83" s="350" t="s">
        <v>964</v>
      </c>
      <c r="P83" s="351" t="s">
        <v>873</v>
      </c>
      <c r="Q83" s="352" t="s">
        <v>1802</v>
      </c>
      <c r="R83" s="353">
        <v>143845.42900000003</v>
      </c>
      <c r="S83" s="354">
        <v>5633.3811053487507</v>
      </c>
      <c r="T83" s="355">
        <v>0.25</v>
      </c>
      <c r="U83" s="356">
        <v>1408.3452763371877</v>
      </c>
      <c r="V83" s="355">
        <v>0.25</v>
      </c>
      <c r="W83" s="356">
        <v>1408.3452763371877</v>
      </c>
      <c r="X83" s="355">
        <v>0.25</v>
      </c>
      <c r="Y83" s="356">
        <v>1408.3452763371877</v>
      </c>
      <c r="Z83" s="355">
        <v>0.25</v>
      </c>
      <c r="AA83" s="354">
        <v>1408.3452763371877</v>
      </c>
      <c r="AB83" s="354">
        <v>1</v>
      </c>
      <c r="AC83" s="354">
        <v>5633.3811053487507</v>
      </c>
      <c r="AD83" s="357"/>
      <c r="AE83" s="358" t="s">
        <v>1803</v>
      </c>
      <c r="AF83" s="346" t="s">
        <v>2031</v>
      </c>
      <c r="AG83" s="347"/>
      <c r="AH83" s="359" t="s">
        <v>1805</v>
      </c>
      <c r="AI83" s="347" t="s">
        <v>1886</v>
      </c>
      <c r="AJ83" s="347" t="s">
        <v>561</v>
      </c>
      <c r="AK83" s="455" t="s">
        <v>2032</v>
      </c>
      <c r="AL83" s="111"/>
    </row>
    <row r="84" spans="1:38" ht="13.5" hidden="1" customHeight="1">
      <c r="A84" s="342" t="s">
        <v>2035</v>
      </c>
      <c r="B84" s="342" t="s">
        <v>1794</v>
      </c>
      <c r="C84" s="342" t="s">
        <v>1795</v>
      </c>
      <c r="D84" s="342" t="s">
        <v>1923</v>
      </c>
      <c r="E84" s="342" t="s">
        <v>2036</v>
      </c>
      <c r="F84" s="361">
        <v>99</v>
      </c>
      <c r="G84" s="344" t="s">
        <v>508</v>
      </c>
      <c r="H84" s="345" t="s">
        <v>573</v>
      </c>
      <c r="I84" s="346" t="s">
        <v>2036</v>
      </c>
      <c r="J84" s="347" t="s">
        <v>950</v>
      </c>
      <c r="K84" s="348" t="s">
        <v>1798</v>
      </c>
      <c r="L84" s="349" t="s">
        <v>1799</v>
      </c>
      <c r="M84" s="349" t="s">
        <v>1800</v>
      </c>
      <c r="N84" s="348" t="s">
        <v>1801</v>
      </c>
      <c r="O84" s="350" t="s">
        <v>951</v>
      </c>
      <c r="P84" s="351" t="s">
        <v>873</v>
      </c>
      <c r="Q84" s="352" t="s">
        <v>1802</v>
      </c>
      <c r="R84" s="353">
        <v>193266.7</v>
      </c>
      <c r="S84" s="354">
        <v>7568.8534814207069</v>
      </c>
      <c r="T84" s="355">
        <v>0.25</v>
      </c>
      <c r="U84" s="356">
        <v>1892.2133703551767</v>
      </c>
      <c r="V84" s="355">
        <v>0.25</v>
      </c>
      <c r="W84" s="356">
        <v>1892.2133703551767</v>
      </c>
      <c r="X84" s="355">
        <v>0.25</v>
      </c>
      <c r="Y84" s="356">
        <v>1892.2133703551767</v>
      </c>
      <c r="Z84" s="355">
        <v>0.25</v>
      </c>
      <c r="AA84" s="354">
        <v>1892.2133703551767</v>
      </c>
      <c r="AB84" s="354">
        <v>1</v>
      </c>
      <c r="AC84" s="354">
        <v>7568.8534814207069</v>
      </c>
      <c r="AD84" s="357"/>
      <c r="AE84" s="358" t="s">
        <v>1803</v>
      </c>
      <c r="AF84" s="346" t="s">
        <v>2031</v>
      </c>
      <c r="AG84" s="347"/>
      <c r="AH84" s="359" t="s">
        <v>1805</v>
      </c>
      <c r="AI84" s="347" t="s">
        <v>1886</v>
      </c>
      <c r="AJ84" s="347" t="s">
        <v>561</v>
      </c>
      <c r="AK84" s="455" t="s">
        <v>2032</v>
      </c>
      <c r="AL84" s="111"/>
    </row>
    <row r="85" spans="1:38" ht="13.5" hidden="1" customHeight="1">
      <c r="A85" s="342" t="s">
        <v>2037</v>
      </c>
      <c r="B85" s="342" t="s">
        <v>1794</v>
      </c>
      <c r="C85" s="342" t="s">
        <v>1795</v>
      </c>
      <c r="D85" s="342" t="s">
        <v>1930</v>
      </c>
      <c r="E85" s="342" t="s">
        <v>2038</v>
      </c>
      <c r="F85" s="343">
        <v>100</v>
      </c>
      <c r="G85" s="344" t="s">
        <v>508</v>
      </c>
      <c r="H85" s="345" t="s">
        <v>573</v>
      </c>
      <c r="I85" s="346" t="s">
        <v>2038</v>
      </c>
      <c r="J85" s="347" t="s">
        <v>809</v>
      </c>
      <c r="K85" s="348" t="s">
        <v>1798</v>
      </c>
      <c r="L85" s="349" t="s">
        <v>1799</v>
      </c>
      <c r="M85" s="349" t="s">
        <v>1800</v>
      </c>
      <c r="N85" s="348" t="s">
        <v>1801</v>
      </c>
      <c r="O85" s="350" t="s">
        <v>791</v>
      </c>
      <c r="P85" s="351" t="s">
        <v>873</v>
      </c>
      <c r="Q85" s="352" t="s">
        <v>1802</v>
      </c>
      <c r="R85" s="353">
        <v>261299.99999999997</v>
      </c>
      <c r="S85" s="354">
        <v>10233.223906111247</v>
      </c>
      <c r="T85" s="355">
        <v>0.25</v>
      </c>
      <c r="U85" s="356">
        <v>2558.3059765278117</v>
      </c>
      <c r="V85" s="355">
        <v>0.25</v>
      </c>
      <c r="W85" s="356">
        <v>2558.3059765278117</v>
      </c>
      <c r="X85" s="355">
        <v>0.25</v>
      </c>
      <c r="Y85" s="356">
        <v>2558.3059765278117</v>
      </c>
      <c r="Z85" s="355">
        <v>0.25</v>
      </c>
      <c r="AA85" s="354">
        <v>2558.3059765278117</v>
      </c>
      <c r="AB85" s="354">
        <v>1</v>
      </c>
      <c r="AC85" s="354">
        <v>10233.223906111247</v>
      </c>
      <c r="AD85" s="357"/>
      <c r="AE85" s="358" t="s">
        <v>1803</v>
      </c>
      <c r="AF85" s="346" t="s">
        <v>2031</v>
      </c>
      <c r="AG85" s="347"/>
      <c r="AH85" s="359" t="s">
        <v>1805</v>
      </c>
      <c r="AI85" s="347" t="s">
        <v>1886</v>
      </c>
      <c r="AJ85" s="347" t="s">
        <v>561</v>
      </c>
      <c r="AK85" s="455" t="s">
        <v>2032</v>
      </c>
      <c r="AL85" s="111"/>
    </row>
    <row r="86" spans="1:38" ht="13.5" hidden="1" customHeight="1">
      <c r="A86" s="342" t="s">
        <v>2039</v>
      </c>
      <c r="B86" s="342" t="s">
        <v>1794</v>
      </c>
      <c r="C86" s="342" t="s">
        <v>1795</v>
      </c>
      <c r="D86" s="342" t="s">
        <v>1865</v>
      </c>
      <c r="E86" s="342" t="s">
        <v>2040</v>
      </c>
      <c r="F86" s="361">
        <v>101</v>
      </c>
      <c r="G86" s="344" t="s">
        <v>508</v>
      </c>
      <c r="H86" s="345" t="s">
        <v>573</v>
      </c>
      <c r="I86" s="346" t="s">
        <v>2040</v>
      </c>
      <c r="J86" s="347" t="s">
        <v>848</v>
      </c>
      <c r="K86" s="348" t="s">
        <v>1798</v>
      </c>
      <c r="L86" s="349" t="s">
        <v>1799</v>
      </c>
      <c r="M86" s="349" t="s">
        <v>1800</v>
      </c>
      <c r="N86" s="348" t="s">
        <v>1801</v>
      </c>
      <c r="O86" s="350" t="s">
        <v>947</v>
      </c>
      <c r="P86" s="351" t="s">
        <v>873</v>
      </c>
      <c r="Q86" s="352" t="s">
        <v>1802</v>
      </c>
      <c r="R86" s="353">
        <v>1600368.0000000002</v>
      </c>
      <c r="S86" s="354">
        <v>62674.795546021611</v>
      </c>
      <c r="T86" s="355">
        <v>0.25</v>
      </c>
      <c r="U86" s="356">
        <v>15668.698886505403</v>
      </c>
      <c r="V86" s="355">
        <v>0.25</v>
      </c>
      <c r="W86" s="356">
        <v>15668.698886505403</v>
      </c>
      <c r="X86" s="355">
        <v>0.25</v>
      </c>
      <c r="Y86" s="356">
        <v>15668.698886505403</v>
      </c>
      <c r="Z86" s="355">
        <v>0.25</v>
      </c>
      <c r="AA86" s="354">
        <v>15668.698886505403</v>
      </c>
      <c r="AB86" s="354">
        <v>1</v>
      </c>
      <c r="AC86" s="354">
        <v>62674.795546021611</v>
      </c>
      <c r="AD86" s="357"/>
      <c r="AE86" s="358" t="s">
        <v>1803</v>
      </c>
      <c r="AF86" s="346" t="s">
        <v>2031</v>
      </c>
      <c r="AG86" s="347"/>
      <c r="AH86" s="359" t="s">
        <v>1805</v>
      </c>
      <c r="AI86" s="347" t="s">
        <v>1886</v>
      </c>
      <c r="AJ86" s="347" t="s">
        <v>561</v>
      </c>
      <c r="AK86" s="455" t="s">
        <v>2032</v>
      </c>
      <c r="AL86" s="111"/>
    </row>
    <row r="87" spans="1:38" ht="13.5" hidden="1" customHeight="1">
      <c r="A87" s="342" t="s">
        <v>2041</v>
      </c>
      <c r="B87" s="342" t="s">
        <v>1794</v>
      </c>
      <c r="C87" s="342" t="s">
        <v>1795</v>
      </c>
      <c r="D87" s="342" t="s">
        <v>2007</v>
      </c>
      <c r="E87" s="342" t="s">
        <v>2038</v>
      </c>
      <c r="F87" s="361">
        <v>102</v>
      </c>
      <c r="G87" s="344" t="s">
        <v>508</v>
      </c>
      <c r="H87" s="345" t="s">
        <v>573</v>
      </c>
      <c r="I87" s="346" t="s">
        <v>2038</v>
      </c>
      <c r="J87" s="347" t="s">
        <v>2008</v>
      </c>
      <c r="K87" s="348" t="s">
        <v>1798</v>
      </c>
      <c r="L87" s="349" t="s">
        <v>1799</v>
      </c>
      <c r="M87" s="349" t="s">
        <v>1800</v>
      </c>
      <c r="N87" s="348" t="s">
        <v>1801</v>
      </c>
      <c r="O87" s="350" t="s">
        <v>789</v>
      </c>
      <c r="P87" s="351" t="s">
        <v>873</v>
      </c>
      <c r="Q87" s="352" t="s">
        <v>1802</v>
      </c>
      <c r="R87" s="353">
        <v>41098.694000000003</v>
      </c>
      <c r="S87" s="354">
        <v>1609.5374586710714</v>
      </c>
      <c r="T87" s="355">
        <v>0.25</v>
      </c>
      <c r="U87" s="356">
        <v>402.38436466776784</v>
      </c>
      <c r="V87" s="355">
        <v>0.25</v>
      </c>
      <c r="W87" s="356">
        <v>402.38436466776784</v>
      </c>
      <c r="X87" s="355">
        <v>0.25</v>
      </c>
      <c r="Y87" s="356">
        <v>402.38436466776784</v>
      </c>
      <c r="Z87" s="355">
        <v>0.25</v>
      </c>
      <c r="AA87" s="354">
        <v>402.38436466776784</v>
      </c>
      <c r="AB87" s="354">
        <v>1</v>
      </c>
      <c r="AC87" s="354">
        <v>1609.5374586710714</v>
      </c>
      <c r="AD87" s="357"/>
      <c r="AE87" s="358" t="s">
        <v>1803</v>
      </c>
      <c r="AF87" s="346" t="s">
        <v>2031</v>
      </c>
      <c r="AG87" s="347"/>
      <c r="AH87" s="359" t="s">
        <v>1805</v>
      </c>
      <c r="AI87" s="347" t="s">
        <v>1886</v>
      </c>
      <c r="AJ87" s="347" t="s">
        <v>561</v>
      </c>
      <c r="AK87" s="455" t="s">
        <v>2032</v>
      </c>
      <c r="AL87" s="111"/>
    </row>
    <row r="88" spans="1:38" ht="13.5" hidden="1" customHeight="1">
      <c r="A88" s="362" t="s">
        <v>2042</v>
      </c>
      <c r="B88" s="362" t="s">
        <v>1794</v>
      </c>
      <c r="C88" s="362" t="s">
        <v>1795</v>
      </c>
      <c r="D88" s="362" t="s">
        <v>1869</v>
      </c>
      <c r="E88" s="362" t="s">
        <v>2043</v>
      </c>
      <c r="F88" s="396">
        <v>103</v>
      </c>
      <c r="G88" s="364" t="s">
        <v>508</v>
      </c>
      <c r="H88" s="365" t="s">
        <v>573</v>
      </c>
      <c r="I88" s="366" t="s">
        <v>2043</v>
      </c>
      <c r="J88" s="367" t="s">
        <v>1392</v>
      </c>
      <c r="K88" s="368" t="s">
        <v>1798</v>
      </c>
      <c r="L88" s="369" t="s">
        <v>1799</v>
      </c>
      <c r="M88" s="369" t="s">
        <v>1800</v>
      </c>
      <c r="N88" s="368" t="s">
        <v>1801</v>
      </c>
      <c r="O88" s="370" t="s">
        <v>789</v>
      </c>
      <c r="P88" s="371" t="s">
        <v>873</v>
      </c>
      <c r="Q88" s="372" t="s">
        <v>1802</v>
      </c>
      <c r="R88" s="373">
        <v>20549.347000000002</v>
      </c>
      <c r="S88" s="374">
        <v>804.76872933553568</v>
      </c>
      <c r="T88" s="375">
        <v>0.25</v>
      </c>
      <c r="U88" s="376">
        <v>201.19218233388392</v>
      </c>
      <c r="V88" s="375">
        <v>0.25</v>
      </c>
      <c r="W88" s="376">
        <v>201.19218233388392</v>
      </c>
      <c r="X88" s="375">
        <v>0.25</v>
      </c>
      <c r="Y88" s="376">
        <v>201.19218233388392</v>
      </c>
      <c r="Z88" s="375">
        <v>0.25</v>
      </c>
      <c r="AA88" s="374">
        <v>201.19218233388392</v>
      </c>
      <c r="AB88" s="374">
        <v>1</v>
      </c>
      <c r="AC88" s="374">
        <v>804.76872933553568</v>
      </c>
      <c r="AD88" s="377"/>
      <c r="AE88" s="378" t="s">
        <v>1803</v>
      </c>
      <c r="AF88" s="366" t="s">
        <v>2031</v>
      </c>
      <c r="AG88" s="347"/>
      <c r="AH88" s="359" t="s">
        <v>1805</v>
      </c>
      <c r="AI88" s="347" t="s">
        <v>1886</v>
      </c>
      <c r="AJ88" s="347" t="s">
        <v>561</v>
      </c>
      <c r="AK88" s="455" t="s">
        <v>2032</v>
      </c>
      <c r="AL88" s="111"/>
    </row>
    <row r="89" spans="1:38" ht="13.5" hidden="1" customHeight="1">
      <c r="A89" s="380" t="s">
        <v>2044</v>
      </c>
      <c r="B89" s="380" t="s">
        <v>1794</v>
      </c>
      <c r="C89" s="380" t="s">
        <v>1795</v>
      </c>
      <c r="D89" s="380" t="s">
        <v>1865</v>
      </c>
      <c r="E89" s="380" t="s">
        <v>593</v>
      </c>
      <c r="F89" s="418">
        <v>107</v>
      </c>
      <c r="G89" s="419" t="s">
        <v>508</v>
      </c>
      <c r="H89" s="749" t="s">
        <v>592</v>
      </c>
      <c r="I89" s="420" t="s">
        <v>593</v>
      </c>
      <c r="J89" s="421" t="s">
        <v>848</v>
      </c>
      <c r="K89" s="384" t="s">
        <v>1798</v>
      </c>
      <c r="L89" s="385" t="s">
        <v>1799</v>
      </c>
      <c r="M89" s="385" t="s">
        <v>1800</v>
      </c>
      <c r="N89" s="384" t="s">
        <v>1801</v>
      </c>
      <c r="O89" s="386" t="s">
        <v>947</v>
      </c>
      <c r="P89" s="387" t="s">
        <v>873</v>
      </c>
      <c r="Q89" s="388" t="s">
        <v>1802</v>
      </c>
      <c r="R89" s="389">
        <v>1378861.6500000001</v>
      </c>
      <c r="S89" s="390">
        <v>54000.000000000007</v>
      </c>
      <c r="T89" s="391">
        <v>0.25</v>
      </c>
      <c r="U89" s="392">
        <v>13500.000000000002</v>
      </c>
      <c r="V89" s="391">
        <v>0.25</v>
      </c>
      <c r="W89" s="392">
        <v>13500.000000000002</v>
      </c>
      <c r="X89" s="391">
        <v>0.25</v>
      </c>
      <c r="Y89" s="392">
        <v>13500.000000000002</v>
      </c>
      <c r="Z89" s="391">
        <v>0.25</v>
      </c>
      <c r="AA89" s="390">
        <v>13500.000000000002</v>
      </c>
      <c r="AB89" s="390">
        <v>1</v>
      </c>
      <c r="AC89" s="390">
        <v>54000.000000000007</v>
      </c>
      <c r="AD89" s="393"/>
      <c r="AE89" s="394" t="s">
        <v>1803</v>
      </c>
      <c r="AF89" s="383" t="s">
        <v>2045</v>
      </c>
      <c r="AG89" s="347"/>
      <c r="AH89" s="359" t="s">
        <v>1805</v>
      </c>
      <c r="AI89" s="451" t="s">
        <v>1856</v>
      </c>
      <c r="AJ89" s="473" t="s">
        <v>561</v>
      </c>
      <c r="AK89" s="359" t="s">
        <v>185</v>
      </c>
      <c r="AL89" s="111" t="s">
        <v>1944</v>
      </c>
    </row>
    <row r="90" spans="1:38" ht="13.5" hidden="1" customHeight="1">
      <c r="A90" s="436" t="s">
        <v>2046</v>
      </c>
      <c r="B90" s="436" t="s">
        <v>1794</v>
      </c>
      <c r="C90" s="436" t="s">
        <v>1795</v>
      </c>
      <c r="D90" s="436" t="s">
        <v>1796</v>
      </c>
      <c r="E90" s="436" t="s">
        <v>2047</v>
      </c>
      <c r="F90" s="457">
        <v>112</v>
      </c>
      <c r="G90" s="438" t="s">
        <v>508</v>
      </c>
      <c r="H90" s="439" t="s">
        <v>592</v>
      </c>
      <c r="I90" s="440" t="s">
        <v>2047</v>
      </c>
      <c r="J90" s="399" t="s">
        <v>875</v>
      </c>
      <c r="K90" s="441" t="s">
        <v>1798</v>
      </c>
      <c r="L90" s="442" t="s">
        <v>1799</v>
      </c>
      <c r="M90" s="442" t="s">
        <v>1800</v>
      </c>
      <c r="N90" s="441" t="s">
        <v>1801</v>
      </c>
      <c r="O90" s="443"/>
      <c r="P90" s="444"/>
      <c r="Q90" s="445"/>
      <c r="R90" s="446"/>
      <c r="S90" s="447"/>
      <c r="T90" s="448"/>
      <c r="U90" s="449"/>
      <c r="V90" s="448"/>
      <c r="W90" s="449"/>
      <c r="X90" s="448"/>
      <c r="Y90" s="449"/>
      <c r="Z90" s="448"/>
      <c r="AA90" s="447"/>
      <c r="AB90" s="447"/>
      <c r="AC90" s="447"/>
      <c r="AD90" s="450"/>
      <c r="AE90" s="438"/>
      <c r="AF90" s="440"/>
      <c r="AG90" s="399"/>
      <c r="AH90" s="451" t="s">
        <v>1805</v>
      </c>
      <c r="AI90" s="451"/>
      <c r="AJ90" s="451"/>
      <c r="AK90" s="451" t="s">
        <v>1993</v>
      </c>
      <c r="AL90" s="111"/>
    </row>
    <row r="91" spans="1:38" ht="13.5" hidden="1" customHeight="1">
      <c r="A91" s="436" t="s">
        <v>2048</v>
      </c>
      <c r="B91" s="436" t="s">
        <v>1794</v>
      </c>
      <c r="C91" s="436" t="s">
        <v>1795</v>
      </c>
      <c r="D91" s="436" t="s">
        <v>1812</v>
      </c>
      <c r="E91" s="436" t="s">
        <v>2049</v>
      </c>
      <c r="F91" s="437">
        <v>113</v>
      </c>
      <c r="G91" s="438" t="s">
        <v>508</v>
      </c>
      <c r="H91" s="439" t="s">
        <v>592</v>
      </c>
      <c r="I91" s="440" t="s">
        <v>2049</v>
      </c>
      <c r="J91" s="399" t="s">
        <v>881</v>
      </c>
      <c r="K91" s="441" t="s">
        <v>1798</v>
      </c>
      <c r="L91" s="442" t="s">
        <v>1799</v>
      </c>
      <c r="M91" s="442" t="s">
        <v>1800</v>
      </c>
      <c r="N91" s="441" t="s">
        <v>1801</v>
      </c>
      <c r="O91" s="443"/>
      <c r="P91" s="444"/>
      <c r="Q91" s="445"/>
      <c r="R91" s="446"/>
      <c r="S91" s="447"/>
      <c r="T91" s="448"/>
      <c r="U91" s="449"/>
      <c r="V91" s="448"/>
      <c r="W91" s="449"/>
      <c r="X91" s="448"/>
      <c r="Y91" s="449"/>
      <c r="Z91" s="448"/>
      <c r="AA91" s="447"/>
      <c r="AB91" s="447"/>
      <c r="AC91" s="447"/>
      <c r="AD91" s="450"/>
      <c r="AE91" s="438"/>
      <c r="AF91" s="440"/>
      <c r="AG91" s="399"/>
      <c r="AH91" s="451" t="s">
        <v>1805</v>
      </c>
      <c r="AI91" s="451"/>
      <c r="AJ91" s="451"/>
      <c r="AK91" s="451" t="s">
        <v>1993</v>
      </c>
      <c r="AL91" s="111"/>
    </row>
    <row r="92" spans="1:38" ht="13.5" hidden="1" customHeight="1">
      <c r="A92" s="436" t="s">
        <v>2050</v>
      </c>
      <c r="B92" s="436" t="s">
        <v>1794</v>
      </c>
      <c r="C92" s="436" t="s">
        <v>1795</v>
      </c>
      <c r="D92" s="436" t="s">
        <v>1923</v>
      </c>
      <c r="E92" s="436" t="s">
        <v>2051</v>
      </c>
      <c r="F92" s="437">
        <v>114</v>
      </c>
      <c r="G92" s="438" t="s">
        <v>508</v>
      </c>
      <c r="H92" s="439" t="s">
        <v>592</v>
      </c>
      <c r="I92" s="440" t="s">
        <v>2051</v>
      </c>
      <c r="J92" s="399" t="s">
        <v>950</v>
      </c>
      <c r="K92" s="441" t="s">
        <v>1798</v>
      </c>
      <c r="L92" s="442" t="s">
        <v>1799</v>
      </c>
      <c r="M92" s="442" t="s">
        <v>1800</v>
      </c>
      <c r="N92" s="441" t="s">
        <v>1801</v>
      </c>
      <c r="O92" s="443"/>
      <c r="P92" s="444"/>
      <c r="Q92" s="445"/>
      <c r="R92" s="446"/>
      <c r="S92" s="447"/>
      <c r="T92" s="448"/>
      <c r="U92" s="449"/>
      <c r="V92" s="448"/>
      <c r="W92" s="449"/>
      <c r="X92" s="448"/>
      <c r="Y92" s="449"/>
      <c r="Z92" s="448"/>
      <c r="AA92" s="447"/>
      <c r="AB92" s="447"/>
      <c r="AC92" s="447"/>
      <c r="AD92" s="450"/>
      <c r="AE92" s="438"/>
      <c r="AF92" s="440"/>
      <c r="AG92" s="399"/>
      <c r="AH92" s="451" t="s">
        <v>1805</v>
      </c>
      <c r="AI92" s="451"/>
      <c r="AJ92" s="451"/>
      <c r="AK92" s="451" t="s">
        <v>1993</v>
      </c>
      <c r="AL92" s="111"/>
    </row>
    <row r="93" spans="1:38" ht="13.5" hidden="1" customHeight="1">
      <c r="A93" s="436" t="s">
        <v>2052</v>
      </c>
      <c r="B93" s="436" t="s">
        <v>1794</v>
      </c>
      <c r="C93" s="436" t="s">
        <v>1795</v>
      </c>
      <c r="D93" s="436" t="s">
        <v>2025</v>
      </c>
      <c r="E93" s="436" t="s">
        <v>2053</v>
      </c>
      <c r="F93" s="457">
        <v>115</v>
      </c>
      <c r="G93" s="438" t="s">
        <v>508</v>
      </c>
      <c r="H93" s="439" t="s">
        <v>592</v>
      </c>
      <c r="I93" s="440" t="s">
        <v>2053</v>
      </c>
      <c r="J93" s="399" t="s">
        <v>813</v>
      </c>
      <c r="K93" s="441" t="s">
        <v>1798</v>
      </c>
      <c r="L93" s="442" t="s">
        <v>1799</v>
      </c>
      <c r="M93" s="442" t="s">
        <v>1800</v>
      </c>
      <c r="N93" s="441" t="s">
        <v>1801</v>
      </c>
      <c r="O93" s="443"/>
      <c r="P93" s="444"/>
      <c r="Q93" s="445"/>
      <c r="R93" s="446"/>
      <c r="S93" s="447"/>
      <c r="T93" s="448"/>
      <c r="U93" s="449"/>
      <c r="V93" s="448"/>
      <c r="W93" s="449"/>
      <c r="X93" s="448"/>
      <c r="Y93" s="449"/>
      <c r="Z93" s="448"/>
      <c r="AA93" s="447"/>
      <c r="AB93" s="447"/>
      <c r="AC93" s="447"/>
      <c r="AD93" s="450"/>
      <c r="AE93" s="438"/>
      <c r="AF93" s="440"/>
      <c r="AG93" s="399"/>
      <c r="AH93" s="451" t="s">
        <v>1805</v>
      </c>
      <c r="AI93" s="451"/>
      <c r="AJ93" s="451"/>
      <c r="AK93" s="451" t="s">
        <v>1993</v>
      </c>
      <c r="AL93" s="111"/>
    </row>
    <row r="94" spans="1:38" ht="13.5" hidden="1" customHeight="1">
      <c r="A94" s="436" t="s">
        <v>2054</v>
      </c>
      <c r="B94" s="436" t="s">
        <v>1794</v>
      </c>
      <c r="C94" s="436" t="s">
        <v>1795</v>
      </c>
      <c r="D94" s="436" t="s">
        <v>1865</v>
      </c>
      <c r="E94" s="436" t="s">
        <v>2055</v>
      </c>
      <c r="F94" s="437">
        <v>116</v>
      </c>
      <c r="G94" s="438" t="s">
        <v>508</v>
      </c>
      <c r="H94" s="439" t="s">
        <v>592</v>
      </c>
      <c r="I94" s="440" t="s">
        <v>2055</v>
      </c>
      <c r="J94" s="399" t="s">
        <v>848</v>
      </c>
      <c r="K94" s="441" t="s">
        <v>1798</v>
      </c>
      <c r="L94" s="442" t="s">
        <v>1799</v>
      </c>
      <c r="M94" s="442" t="s">
        <v>1800</v>
      </c>
      <c r="N94" s="441" t="s">
        <v>1801</v>
      </c>
      <c r="O94" s="443"/>
      <c r="P94" s="444"/>
      <c r="Q94" s="445"/>
      <c r="R94" s="446"/>
      <c r="S94" s="447"/>
      <c r="T94" s="448"/>
      <c r="U94" s="449"/>
      <c r="V94" s="448"/>
      <c r="W94" s="449"/>
      <c r="X94" s="448"/>
      <c r="Y94" s="449"/>
      <c r="Z94" s="448"/>
      <c r="AA94" s="447"/>
      <c r="AB94" s="447"/>
      <c r="AC94" s="447"/>
      <c r="AD94" s="450"/>
      <c r="AE94" s="438"/>
      <c r="AF94" s="440"/>
      <c r="AG94" s="399"/>
      <c r="AH94" s="451" t="s">
        <v>1805</v>
      </c>
      <c r="AI94" s="451"/>
      <c r="AJ94" s="451"/>
      <c r="AK94" s="451" t="s">
        <v>1993</v>
      </c>
      <c r="AL94" s="111"/>
    </row>
    <row r="95" spans="1:38" ht="13.5" hidden="1" customHeight="1">
      <c r="A95" s="362" t="s">
        <v>2056</v>
      </c>
      <c r="B95" s="362" t="s">
        <v>1794</v>
      </c>
      <c r="C95" s="362" t="s">
        <v>1795</v>
      </c>
      <c r="D95" s="362" t="s">
        <v>1923</v>
      </c>
      <c r="E95" s="362" t="s">
        <v>2057</v>
      </c>
      <c r="F95" s="411">
        <v>120</v>
      </c>
      <c r="G95" s="412" t="s">
        <v>508</v>
      </c>
      <c r="H95" s="413" t="s">
        <v>2058</v>
      </c>
      <c r="I95" s="414" t="s">
        <v>2057</v>
      </c>
      <c r="J95" s="415" t="s">
        <v>950</v>
      </c>
      <c r="K95" s="368" t="s">
        <v>1798</v>
      </c>
      <c r="L95" s="369" t="s">
        <v>1799</v>
      </c>
      <c r="M95" s="369" t="s">
        <v>1800</v>
      </c>
      <c r="N95" s="368" t="s">
        <v>1801</v>
      </c>
      <c r="O95" s="370" t="s">
        <v>951</v>
      </c>
      <c r="P95" s="371" t="s">
        <v>873</v>
      </c>
      <c r="Q95" s="372" t="s">
        <v>1802</v>
      </c>
      <c r="R95" s="373">
        <v>153889.31090899999</v>
      </c>
      <c r="S95" s="374">
        <v>6026.7270389933601</v>
      </c>
      <c r="T95" s="375">
        <v>0.25</v>
      </c>
      <c r="U95" s="376">
        <v>1506.68175974834</v>
      </c>
      <c r="V95" s="375">
        <v>0.25</v>
      </c>
      <c r="W95" s="376">
        <v>1506.68175974834</v>
      </c>
      <c r="X95" s="375">
        <v>0.25</v>
      </c>
      <c r="Y95" s="376">
        <v>1506.68175974834</v>
      </c>
      <c r="Z95" s="375">
        <v>0.25</v>
      </c>
      <c r="AA95" s="374">
        <v>1506.68175974834</v>
      </c>
      <c r="AB95" s="374">
        <v>1</v>
      </c>
      <c r="AC95" s="374">
        <v>6026.7270389933601</v>
      </c>
      <c r="AD95" s="377"/>
      <c r="AE95" s="378" t="s">
        <v>1803</v>
      </c>
      <c r="AF95" s="366" t="s">
        <v>2059</v>
      </c>
      <c r="AG95" s="347"/>
      <c r="AH95" s="359" t="s">
        <v>1805</v>
      </c>
      <c r="AI95" s="399" t="s">
        <v>1856</v>
      </c>
      <c r="AJ95" s="400" t="s">
        <v>561</v>
      </c>
      <c r="AK95" s="359" t="s">
        <v>680</v>
      </c>
      <c r="AL95" s="111" t="s">
        <v>2060</v>
      </c>
    </row>
    <row r="96" spans="1:38" ht="13.5" hidden="1" customHeight="1">
      <c r="A96" s="380" t="s">
        <v>2061</v>
      </c>
      <c r="B96" s="380" t="s">
        <v>1794</v>
      </c>
      <c r="C96" s="380" t="s">
        <v>1795</v>
      </c>
      <c r="D96" s="380" t="s">
        <v>1796</v>
      </c>
      <c r="E96" s="380" t="s">
        <v>2062</v>
      </c>
      <c r="F96" s="381">
        <v>122</v>
      </c>
      <c r="G96" s="382" t="s">
        <v>508</v>
      </c>
      <c r="H96" s="743" t="s">
        <v>573</v>
      </c>
      <c r="I96" s="420" t="s">
        <v>2062</v>
      </c>
      <c r="J96" s="744" t="s">
        <v>875</v>
      </c>
      <c r="K96" s="384" t="s">
        <v>1798</v>
      </c>
      <c r="L96" s="385" t="s">
        <v>1799</v>
      </c>
      <c r="M96" s="385" t="s">
        <v>1800</v>
      </c>
      <c r="N96" s="384" t="s">
        <v>1801</v>
      </c>
      <c r="O96" s="386" t="s">
        <v>1133</v>
      </c>
      <c r="P96" s="387" t="s">
        <v>873</v>
      </c>
      <c r="Q96" s="388" t="s">
        <v>1802</v>
      </c>
      <c r="R96" s="389">
        <v>119960.96354999999</v>
      </c>
      <c r="S96" s="390">
        <v>4697.9999999999991</v>
      </c>
      <c r="T96" s="391">
        <v>0.25</v>
      </c>
      <c r="U96" s="392">
        <v>1174.4999999999998</v>
      </c>
      <c r="V96" s="391">
        <v>0.25</v>
      </c>
      <c r="W96" s="392">
        <v>1174.4999999999998</v>
      </c>
      <c r="X96" s="391">
        <v>0.25</v>
      </c>
      <c r="Y96" s="392">
        <v>1174.4999999999998</v>
      </c>
      <c r="Z96" s="391">
        <v>0.25</v>
      </c>
      <c r="AA96" s="390">
        <v>1174.4999999999998</v>
      </c>
      <c r="AB96" s="390">
        <v>1</v>
      </c>
      <c r="AC96" s="390">
        <v>4697.9999999999991</v>
      </c>
      <c r="AD96" s="393"/>
      <c r="AE96" s="394" t="s">
        <v>1803</v>
      </c>
      <c r="AF96" s="383" t="s">
        <v>2063</v>
      </c>
      <c r="AG96" s="347"/>
      <c r="AH96" s="359" t="s">
        <v>1805</v>
      </c>
      <c r="AI96" s="347" t="s">
        <v>1886</v>
      </c>
      <c r="AJ96" s="400" t="s">
        <v>561</v>
      </c>
      <c r="AK96" s="359" t="s">
        <v>227</v>
      </c>
      <c r="AL96" s="111"/>
    </row>
    <row r="97" spans="1:38" ht="13.5" hidden="1" customHeight="1">
      <c r="A97" s="342" t="s">
        <v>2064</v>
      </c>
      <c r="B97" s="342" t="s">
        <v>1794</v>
      </c>
      <c r="C97" s="342" t="s">
        <v>1795</v>
      </c>
      <c r="D97" s="342" t="s">
        <v>1809</v>
      </c>
      <c r="E97" s="342" t="s">
        <v>2065</v>
      </c>
      <c r="F97" s="361">
        <v>123</v>
      </c>
      <c r="G97" s="344" t="s">
        <v>508</v>
      </c>
      <c r="H97" s="345" t="s">
        <v>573</v>
      </c>
      <c r="I97" s="346" t="s">
        <v>2065</v>
      </c>
      <c r="J97" s="347" t="s">
        <v>977</v>
      </c>
      <c r="K97" s="348" t="s">
        <v>1798</v>
      </c>
      <c r="L97" s="349" t="s">
        <v>1799</v>
      </c>
      <c r="M97" s="349" t="s">
        <v>1800</v>
      </c>
      <c r="N97" s="348" t="s">
        <v>1801</v>
      </c>
      <c r="O97" s="350" t="s">
        <v>961</v>
      </c>
      <c r="P97" s="351" t="s">
        <v>873</v>
      </c>
      <c r="Q97" s="352" t="s">
        <v>1802</v>
      </c>
      <c r="R97" s="353">
        <v>651129.11250000005</v>
      </c>
      <c r="S97" s="354">
        <v>25500</v>
      </c>
      <c r="T97" s="355">
        <v>0.25</v>
      </c>
      <c r="U97" s="356">
        <v>6375</v>
      </c>
      <c r="V97" s="355">
        <v>0.25</v>
      </c>
      <c r="W97" s="356">
        <v>6375</v>
      </c>
      <c r="X97" s="355">
        <v>0.25</v>
      </c>
      <c r="Y97" s="356">
        <v>6375</v>
      </c>
      <c r="Z97" s="355">
        <v>0.25</v>
      </c>
      <c r="AA97" s="354">
        <v>6375</v>
      </c>
      <c r="AB97" s="354">
        <v>1</v>
      </c>
      <c r="AC97" s="354">
        <v>25500</v>
      </c>
      <c r="AD97" s="357"/>
      <c r="AE97" s="358" t="s">
        <v>1803</v>
      </c>
      <c r="AF97" s="346" t="s">
        <v>2063</v>
      </c>
      <c r="AG97" s="347"/>
      <c r="AH97" s="359" t="s">
        <v>1805</v>
      </c>
      <c r="AI97" s="347" t="s">
        <v>1886</v>
      </c>
      <c r="AJ97" s="400" t="s">
        <v>561</v>
      </c>
      <c r="AK97" s="359" t="s">
        <v>227</v>
      </c>
      <c r="AL97" s="111"/>
    </row>
    <row r="98" spans="1:38" ht="13.5" hidden="1" customHeight="1">
      <c r="A98" s="342" t="s">
        <v>2066</v>
      </c>
      <c r="B98" s="342" t="s">
        <v>1794</v>
      </c>
      <c r="C98" s="342" t="s">
        <v>1795</v>
      </c>
      <c r="D98" s="342" t="s">
        <v>1812</v>
      </c>
      <c r="E98" s="342" t="s">
        <v>2067</v>
      </c>
      <c r="F98" s="343">
        <v>124</v>
      </c>
      <c r="G98" s="344" t="s">
        <v>508</v>
      </c>
      <c r="H98" s="345" t="s">
        <v>573</v>
      </c>
      <c r="I98" s="346" t="s">
        <v>2067</v>
      </c>
      <c r="J98" s="347" t="s">
        <v>881</v>
      </c>
      <c r="K98" s="348" t="s">
        <v>1798</v>
      </c>
      <c r="L98" s="349" t="s">
        <v>1799</v>
      </c>
      <c r="M98" s="349" t="s">
        <v>1800</v>
      </c>
      <c r="N98" s="348" t="s">
        <v>1801</v>
      </c>
      <c r="O98" s="350" t="s">
        <v>964</v>
      </c>
      <c r="P98" s="351" t="s">
        <v>873</v>
      </c>
      <c r="Q98" s="352" t="s">
        <v>1802</v>
      </c>
      <c r="R98" s="353">
        <v>79973.97570000001</v>
      </c>
      <c r="S98" s="354">
        <v>3132.0000000000005</v>
      </c>
      <c r="T98" s="355">
        <v>0.25</v>
      </c>
      <c r="U98" s="356">
        <v>783.00000000000011</v>
      </c>
      <c r="V98" s="355">
        <v>0.25</v>
      </c>
      <c r="W98" s="356">
        <v>783.00000000000011</v>
      </c>
      <c r="X98" s="355">
        <v>0.25</v>
      </c>
      <c r="Y98" s="356">
        <v>783.00000000000011</v>
      </c>
      <c r="Z98" s="355">
        <v>0.25</v>
      </c>
      <c r="AA98" s="354">
        <v>783.00000000000011</v>
      </c>
      <c r="AB98" s="354">
        <v>1</v>
      </c>
      <c r="AC98" s="354">
        <v>3132.0000000000005</v>
      </c>
      <c r="AD98" s="357"/>
      <c r="AE98" s="358" t="s">
        <v>1803</v>
      </c>
      <c r="AF98" s="346" t="s">
        <v>2063</v>
      </c>
      <c r="AG98" s="347"/>
      <c r="AH98" s="359" t="s">
        <v>1805</v>
      </c>
      <c r="AI98" s="347" t="s">
        <v>1886</v>
      </c>
      <c r="AJ98" s="400" t="s">
        <v>561</v>
      </c>
      <c r="AK98" s="359" t="s">
        <v>227</v>
      </c>
      <c r="AL98" s="111"/>
    </row>
    <row r="99" spans="1:38" ht="13.5" hidden="1" customHeight="1">
      <c r="A99" s="342" t="s">
        <v>2068</v>
      </c>
      <c r="B99" s="342" t="s">
        <v>1794</v>
      </c>
      <c r="C99" s="342" t="s">
        <v>1795</v>
      </c>
      <c r="D99" s="342" t="s">
        <v>1853</v>
      </c>
      <c r="E99" s="342" t="s">
        <v>2069</v>
      </c>
      <c r="F99" s="361">
        <v>125</v>
      </c>
      <c r="G99" s="344" t="s">
        <v>508</v>
      </c>
      <c r="H99" s="345" t="s">
        <v>573</v>
      </c>
      <c r="I99" s="346" t="s">
        <v>2069</v>
      </c>
      <c r="J99" s="347" t="s">
        <v>882</v>
      </c>
      <c r="K99" s="348" t="s">
        <v>1798</v>
      </c>
      <c r="L99" s="349" t="s">
        <v>1799</v>
      </c>
      <c r="M99" s="349" t="s">
        <v>1800</v>
      </c>
      <c r="N99" s="348" t="s">
        <v>1801</v>
      </c>
      <c r="O99" s="350" t="s">
        <v>789</v>
      </c>
      <c r="P99" s="351" t="s">
        <v>873</v>
      </c>
      <c r="Q99" s="352" t="s">
        <v>1802</v>
      </c>
      <c r="R99" s="353">
        <v>33705.506999999998</v>
      </c>
      <c r="S99" s="354">
        <v>1320</v>
      </c>
      <c r="T99" s="355">
        <v>0.25</v>
      </c>
      <c r="U99" s="356">
        <v>330</v>
      </c>
      <c r="V99" s="355">
        <v>0.25</v>
      </c>
      <c r="W99" s="356">
        <v>330</v>
      </c>
      <c r="X99" s="355">
        <v>0.25</v>
      </c>
      <c r="Y99" s="356">
        <v>330</v>
      </c>
      <c r="Z99" s="355">
        <v>0.25</v>
      </c>
      <c r="AA99" s="354">
        <v>330</v>
      </c>
      <c r="AB99" s="354">
        <v>1</v>
      </c>
      <c r="AC99" s="354">
        <v>1320</v>
      </c>
      <c r="AD99" s="357"/>
      <c r="AE99" s="358" t="s">
        <v>1803</v>
      </c>
      <c r="AF99" s="346" t="s">
        <v>2063</v>
      </c>
      <c r="AG99" s="347"/>
      <c r="AH99" s="359" t="s">
        <v>1805</v>
      </c>
      <c r="AI99" s="347" t="s">
        <v>1886</v>
      </c>
      <c r="AJ99" s="400" t="s">
        <v>561</v>
      </c>
      <c r="AK99" s="359" t="s">
        <v>227</v>
      </c>
      <c r="AL99" s="111"/>
    </row>
    <row r="100" spans="1:38" ht="13.5" hidden="1" customHeight="1">
      <c r="A100" s="362" t="s">
        <v>2070</v>
      </c>
      <c r="B100" s="362" t="s">
        <v>1794</v>
      </c>
      <c r="C100" s="362" t="s">
        <v>1795</v>
      </c>
      <c r="D100" s="362" t="s">
        <v>1865</v>
      </c>
      <c r="E100" s="362" t="s">
        <v>2071</v>
      </c>
      <c r="F100" s="363">
        <v>126</v>
      </c>
      <c r="G100" s="364" t="s">
        <v>508</v>
      </c>
      <c r="H100" s="365" t="s">
        <v>573</v>
      </c>
      <c r="I100" s="366" t="s">
        <v>2071</v>
      </c>
      <c r="J100" s="367" t="s">
        <v>848</v>
      </c>
      <c r="K100" s="368" t="s">
        <v>1798</v>
      </c>
      <c r="L100" s="369" t="s">
        <v>1799</v>
      </c>
      <c r="M100" s="369" t="s">
        <v>1800</v>
      </c>
      <c r="N100" s="368" t="s">
        <v>1801</v>
      </c>
      <c r="O100" s="370" t="s">
        <v>947</v>
      </c>
      <c r="P100" s="371" t="s">
        <v>873</v>
      </c>
      <c r="Q100" s="372" t="s">
        <v>1802</v>
      </c>
      <c r="R100" s="373">
        <v>114905.1375</v>
      </c>
      <c r="S100" s="374">
        <v>4500</v>
      </c>
      <c r="T100" s="375">
        <v>0.25</v>
      </c>
      <c r="U100" s="376">
        <v>1125</v>
      </c>
      <c r="V100" s="375">
        <v>0.25</v>
      </c>
      <c r="W100" s="376">
        <v>1125</v>
      </c>
      <c r="X100" s="375">
        <v>0.25</v>
      </c>
      <c r="Y100" s="376">
        <v>1125</v>
      </c>
      <c r="Z100" s="375">
        <v>0.25</v>
      </c>
      <c r="AA100" s="374">
        <v>1125</v>
      </c>
      <c r="AB100" s="374">
        <v>1</v>
      </c>
      <c r="AC100" s="374">
        <v>4500</v>
      </c>
      <c r="AD100" s="377"/>
      <c r="AE100" s="378" t="s">
        <v>1803</v>
      </c>
      <c r="AF100" s="366" t="s">
        <v>2063</v>
      </c>
      <c r="AG100" s="347"/>
      <c r="AH100" s="359" t="s">
        <v>1805</v>
      </c>
      <c r="AI100" s="347" t="s">
        <v>1886</v>
      </c>
      <c r="AJ100" s="400" t="s">
        <v>561</v>
      </c>
      <c r="AK100" s="359" t="s">
        <v>227</v>
      </c>
      <c r="AL100" s="111"/>
    </row>
    <row r="101" spans="1:38" ht="13.5" customHeight="1">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row>
    <row r="102" spans="1:38" ht="13.5" customHeight="1">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row>
    <row r="103" spans="1:38" ht="13.5"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row>
    <row r="104" spans="1:38" ht="13.5" customHeight="1">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11"/>
      <c r="AL104" s="111"/>
    </row>
    <row r="105" spans="1:38" ht="13.5" customHeight="1">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row>
    <row r="106" spans="1:38" ht="13.5" customHeight="1">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c r="AG106" s="111"/>
      <c r="AH106" s="111"/>
      <c r="AI106" s="111"/>
      <c r="AJ106" s="111"/>
      <c r="AK106" s="111"/>
      <c r="AL106" s="111"/>
    </row>
    <row r="107" spans="1:38" ht="13.5" customHeight="1">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row>
    <row r="108" spans="1:38" ht="13.5" customHeight="1">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row>
    <row r="109" spans="1:38" ht="13.5" customHeight="1">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row>
    <row r="110" spans="1:38" ht="13.5" customHeight="1">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row>
    <row r="111" spans="1:38" ht="13.5" customHeight="1">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row>
    <row r="112" spans="1:38" ht="13.5" customHeight="1">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111"/>
    </row>
    <row r="113" spans="1:38" ht="13.5" customHeight="1">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row>
    <row r="114" spans="1:38" ht="13.5" customHeight="1">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111"/>
      <c r="AI114" s="111"/>
      <c r="AJ114" s="111"/>
      <c r="AK114" s="111"/>
      <c r="AL114" s="111"/>
    </row>
    <row r="115" spans="1:38" ht="13.5" customHeight="1">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c r="AJ115" s="111"/>
      <c r="AK115" s="111"/>
      <c r="AL115" s="111"/>
    </row>
    <row r="116" spans="1:38" ht="13.5" customHeight="1">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111"/>
      <c r="AI116" s="111"/>
      <c r="AJ116" s="111"/>
      <c r="AK116" s="111"/>
      <c r="AL116" s="111"/>
    </row>
    <row r="117" spans="1:38" ht="13.5" customHeight="1">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row>
    <row r="118" spans="1:38" ht="13.5" customHeight="1">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111"/>
      <c r="AI118" s="111"/>
      <c r="AJ118" s="111"/>
      <c r="AK118" s="111"/>
      <c r="AL118" s="111"/>
    </row>
    <row r="119" spans="1:38" ht="13.5" customHeight="1">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111"/>
      <c r="AI119" s="111"/>
      <c r="AJ119" s="111"/>
      <c r="AK119" s="111"/>
      <c r="AL119" s="111"/>
    </row>
    <row r="120" spans="1:38" ht="13.5" customHeight="1">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row>
    <row r="121" spans="1:38" ht="13.5" customHeight="1">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11"/>
      <c r="AL121" s="111"/>
    </row>
    <row r="122" spans="1:38" ht="13.5" customHeight="1">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111"/>
      <c r="AK122" s="111"/>
      <c r="AL122" s="111"/>
    </row>
    <row r="123" spans="1:38" ht="13.5" customHeight="1">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111"/>
      <c r="AK123" s="111"/>
      <c r="AL123" s="111"/>
    </row>
    <row r="124" spans="1:38" ht="13.5" customHeight="1">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row>
    <row r="125" spans="1:38" ht="13.5" customHeight="1">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row>
    <row r="126" spans="1:38" ht="13.5" customHeight="1">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row>
    <row r="127" spans="1:38" ht="13.5" customHeight="1">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row>
    <row r="128" spans="1:38" ht="13.5" customHeight="1">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row>
    <row r="129" spans="1:38" ht="13.5" customHeight="1">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row>
    <row r="130" spans="1:38" ht="13.5" customHeight="1">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row>
    <row r="131" spans="1:38" ht="13.5" customHeight="1">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row>
    <row r="132" spans="1:38" ht="13.5" customHeight="1">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11"/>
      <c r="AI132" s="111"/>
      <c r="AJ132" s="111"/>
      <c r="AK132" s="111"/>
      <c r="AL132" s="111"/>
    </row>
    <row r="133" spans="1:38" ht="13.5" customHeight="1">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1"/>
      <c r="AI133" s="111"/>
      <c r="AJ133" s="111"/>
      <c r="AK133" s="111"/>
      <c r="AL133" s="111"/>
    </row>
    <row r="134" spans="1:38" ht="13.5" customHeight="1">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row>
    <row r="135" spans="1:38" ht="13.5" customHeight="1">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row>
    <row r="136" spans="1:38" ht="13.5" customHeight="1">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row>
    <row r="137" spans="1:38" ht="13.5" customHeight="1">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row>
    <row r="138" spans="1:38" ht="13.5" customHeight="1">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row>
    <row r="139" spans="1:38" ht="13.5" customHeight="1">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row>
    <row r="140" spans="1:38" ht="13.5" customHeight="1">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11"/>
      <c r="AL140" s="111"/>
    </row>
    <row r="141" spans="1:38" ht="13.5" customHeight="1">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row>
    <row r="142" spans="1:38" ht="13.5" customHeight="1">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11"/>
      <c r="AH142" s="111"/>
      <c r="AI142" s="111"/>
      <c r="AJ142" s="111"/>
      <c r="AK142" s="111"/>
      <c r="AL142" s="111"/>
    </row>
    <row r="143" spans="1:38" ht="13.5" customHeight="1">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row>
    <row r="144" spans="1:38" ht="13.5" customHeight="1">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row>
    <row r="145" spans="1:38" ht="13.5" customHeight="1">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c r="AG145" s="111"/>
      <c r="AH145" s="111"/>
      <c r="AI145" s="111"/>
      <c r="AJ145" s="111"/>
      <c r="AK145" s="111"/>
      <c r="AL145" s="111"/>
    </row>
    <row r="146" spans="1:38" ht="13.5" customHeight="1">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c r="AG146" s="111"/>
      <c r="AH146" s="111"/>
      <c r="AI146" s="111"/>
      <c r="AJ146" s="111"/>
      <c r="AK146" s="111"/>
      <c r="AL146" s="111"/>
    </row>
    <row r="147" spans="1:38" ht="13.5" customHeight="1">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row>
    <row r="148" spans="1:38" ht="13.5" customHeight="1">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row>
    <row r="149" spans="1:38" ht="13.5" customHeight="1">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11"/>
      <c r="AH149" s="111"/>
      <c r="AI149" s="111"/>
      <c r="AJ149" s="111"/>
      <c r="AK149" s="111"/>
      <c r="AL149" s="111"/>
    </row>
    <row r="150" spans="1:38" ht="13.5" customHeight="1">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11"/>
      <c r="AH150" s="111"/>
      <c r="AI150" s="111"/>
      <c r="AJ150" s="111"/>
      <c r="AK150" s="111"/>
      <c r="AL150" s="111"/>
    </row>
    <row r="151" spans="1:38" ht="13.5" customHeight="1">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row>
    <row r="152" spans="1:38" ht="13.5" customHeight="1">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row>
    <row r="153" spans="1:38" ht="13.5" customHeight="1">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11"/>
      <c r="AL153" s="111"/>
    </row>
    <row r="154" spans="1:38" ht="13.5" customHeight="1">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11"/>
      <c r="AH154" s="111"/>
      <c r="AI154" s="111"/>
      <c r="AJ154" s="111"/>
      <c r="AK154" s="111"/>
      <c r="AL154" s="111"/>
    </row>
    <row r="155" spans="1:38" ht="13.5" customHeight="1">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row>
    <row r="156" spans="1:38" ht="13.5" customHeight="1">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c r="AG156" s="111"/>
      <c r="AH156" s="111"/>
      <c r="AI156" s="111"/>
      <c r="AJ156" s="111"/>
      <c r="AK156" s="111"/>
      <c r="AL156" s="111"/>
    </row>
    <row r="157" spans="1:38" ht="13.5" customHeight="1">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row>
    <row r="158" spans="1:38" ht="13.5" customHeight="1">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11"/>
      <c r="AK158" s="111"/>
      <c r="AL158" s="111"/>
    </row>
    <row r="159" spans="1:38" ht="13.5" customHeight="1">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11"/>
      <c r="AK159" s="111"/>
      <c r="AL159" s="111"/>
    </row>
    <row r="160" spans="1:38" ht="13.5" customHeight="1">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c r="AK160" s="111"/>
      <c r="AL160" s="111"/>
    </row>
    <row r="161" spans="1:38" ht="13.5" customHeight="1">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c r="AG161" s="111"/>
      <c r="AH161" s="111"/>
      <c r="AI161" s="111"/>
      <c r="AJ161" s="111"/>
      <c r="AK161" s="111"/>
      <c r="AL161" s="111"/>
    </row>
    <row r="162" spans="1:38" ht="13.5" customHeight="1">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row>
    <row r="163" spans="1:38" ht="13.5" customHeight="1">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row>
    <row r="164" spans="1:38" ht="13.5" customHeight="1">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c r="AG164" s="111"/>
      <c r="AH164" s="111"/>
      <c r="AI164" s="111"/>
      <c r="AJ164" s="111"/>
      <c r="AK164" s="111"/>
      <c r="AL164" s="111"/>
    </row>
    <row r="165" spans="1:38" ht="13.5" customHeight="1">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row>
    <row r="166" spans="1:38" ht="13.5" customHeight="1">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row>
    <row r="167" spans="1:38" ht="13.5" customHeight="1">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row>
    <row r="168" spans="1:38" ht="13.5" customHeight="1">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row>
    <row r="169" spans="1:38" ht="13.5" customHeight="1">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row>
    <row r="170" spans="1:38" ht="13.5" customHeight="1">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row>
    <row r="171" spans="1:38" ht="13.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row>
    <row r="172" spans="1:38" ht="13.5" customHeight="1">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c r="AG172" s="111"/>
      <c r="AH172" s="111"/>
      <c r="AI172" s="111"/>
      <c r="AJ172" s="111"/>
      <c r="AK172" s="111"/>
      <c r="AL172" s="111"/>
    </row>
    <row r="173" spans="1:38" ht="13.5" customHeight="1">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c r="AG173" s="111"/>
      <c r="AH173" s="111"/>
      <c r="AI173" s="111"/>
      <c r="AJ173" s="111"/>
      <c r="AK173" s="111"/>
      <c r="AL173" s="111"/>
    </row>
    <row r="174" spans="1:38" ht="13.5" customHeight="1">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row>
    <row r="175" spans="1:38" ht="13.5" customHeight="1">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row>
    <row r="176" spans="1:38" ht="13.5" customHeight="1">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row>
    <row r="177" spans="1:38" ht="13.5" customHeight="1">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row>
    <row r="178" spans="1:38" ht="13.5" customHeight="1">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row>
    <row r="179" spans="1:38" ht="13.5" customHeight="1">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row>
    <row r="180" spans="1:38" ht="13.5" customHeight="1">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row>
    <row r="181" spans="1:38" ht="13.5" customHeight="1">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c r="AG181" s="111"/>
      <c r="AH181" s="111"/>
      <c r="AI181" s="111"/>
      <c r="AJ181" s="111"/>
      <c r="AK181" s="111"/>
      <c r="AL181" s="111"/>
    </row>
    <row r="182" spans="1:38" ht="13.5" customHeight="1">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row>
    <row r="183" spans="1:38" ht="13.5" customHeight="1">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c r="AG183" s="111"/>
      <c r="AH183" s="111"/>
      <c r="AI183" s="111"/>
      <c r="AJ183" s="111"/>
      <c r="AK183" s="111"/>
      <c r="AL183" s="111"/>
    </row>
    <row r="184" spans="1:38" ht="13.5" customHeight="1">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c r="AG184" s="111"/>
      <c r="AH184" s="111"/>
      <c r="AI184" s="111"/>
      <c r="AJ184" s="111"/>
      <c r="AK184" s="111"/>
      <c r="AL184" s="111"/>
    </row>
    <row r="185" spans="1:38" ht="13.5" customHeight="1">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c r="AG185" s="111"/>
      <c r="AH185" s="111"/>
      <c r="AI185" s="111"/>
      <c r="AJ185" s="111"/>
      <c r="AK185" s="111"/>
      <c r="AL185" s="111"/>
    </row>
    <row r="186" spans="1:38" ht="13.5" customHeight="1">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c r="AG186" s="111"/>
      <c r="AH186" s="111"/>
      <c r="AI186" s="111"/>
      <c r="AJ186" s="111"/>
      <c r="AK186" s="111"/>
      <c r="AL186" s="111"/>
    </row>
    <row r="187" spans="1:38" ht="13.5" customHeight="1">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row>
    <row r="188" spans="1:38" ht="13.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row>
    <row r="189" spans="1:38" ht="13.5" customHeight="1">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row>
    <row r="190" spans="1:38" ht="13.5" customHeight="1">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c r="AG190" s="111"/>
      <c r="AH190" s="111"/>
      <c r="AI190" s="111"/>
      <c r="AJ190" s="111"/>
      <c r="AK190" s="111"/>
      <c r="AL190" s="111"/>
    </row>
    <row r="191" spans="1:38" ht="13.5" customHeight="1">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row>
    <row r="192" spans="1:38" ht="13.5" customHeight="1">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c r="AG192" s="111"/>
      <c r="AH192" s="111"/>
      <c r="AI192" s="111"/>
      <c r="AJ192" s="111"/>
      <c r="AK192" s="111"/>
      <c r="AL192" s="111"/>
    </row>
    <row r="193" spans="1:38" ht="13.5" customHeight="1">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1"/>
      <c r="AJ193" s="111"/>
      <c r="AK193" s="111"/>
      <c r="AL193" s="111"/>
    </row>
    <row r="194" spans="1:38" ht="13.5" customHeight="1">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row>
    <row r="195" spans="1:38" ht="13.5" customHeight="1">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1"/>
      <c r="AJ195" s="111"/>
      <c r="AK195" s="111"/>
      <c r="AL195" s="111"/>
    </row>
    <row r="196" spans="1:38" ht="13.5" customHeight="1">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row>
    <row r="197" spans="1:38" ht="13.5" customHeight="1">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1"/>
      <c r="AJ197" s="111"/>
      <c r="AK197" s="111"/>
      <c r="AL197" s="111"/>
    </row>
    <row r="198" spans="1:38" ht="13.5" customHeight="1">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1"/>
      <c r="AJ198" s="111"/>
      <c r="AK198" s="111"/>
      <c r="AL198" s="111"/>
    </row>
    <row r="199" spans="1:38" ht="13.5" customHeight="1">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row>
    <row r="200" spans="1:38" ht="13.5" customHeight="1">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1"/>
      <c r="AJ200" s="111"/>
      <c r="AK200" s="111"/>
      <c r="AL200" s="111"/>
    </row>
    <row r="201" spans="1:38" ht="13.5" customHeight="1">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111"/>
      <c r="AL201" s="111"/>
    </row>
    <row r="202" spans="1:38" ht="13.5" customHeight="1">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1"/>
      <c r="AJ202" s="111"/>
      <c r="AK202" s="111"/>
      <c r="AL202" s="111"/>
    </row>
    <row r="203" spans="1:38" ht="13.5" customHeight="1">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row>
    <row r="204" spans="1:38" ht="13.5" customHeight="1">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1"/>
      <c r="AJ204" s="111"/>
      <c r="AK204" s="111"/>
      <c r="AL204" s="111"/>
    </row>
    <row r="205" spans="1:38" ht="13.5" customHeight="1">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1"/>
      <c r="AJ205" s="111"/>
      <c r="AK205" s="111"/>
      <c r="AL205" s="111"/>
    </row>
    <row r="206" spans="1:38" ht="13.5" customHeight="1">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1"/>
      <c r="AJ206" s="111"/>
      <c r="AK206" s="111"/>
      <c r="AL206" s="111"/>
    </row>
    <row r="207" spans="1:38" ht="13.5" customHeight="1">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row>
    <row r="208" spans="1:38" ht="13.5" customHeight="1">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1"/>
      <c r="AJ208" s="111"/>
      <c r="AK208" s="111"/>
      <c r="AL208" s="111"/>
    </row>
    <row r="209" spans="1:38" ht="13.5" customHeight="1">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row>
    <row r="210" spans="1:38" ht="13.5" customHeight="1">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row>
    <row r="211" spans="1:38" ht="13.5" customHeight="1">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111"/>
      <c r="AK211" s="111"/>
      <c r="AL211" s="111"/>
    </row>
    <row r="212" spans="1:38" ht="13.5" customHeight="1">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1"/>
      <c r="AJ212" s="111"/>
      <c r="AK212" s="111"/>
      <c r="AL212" s="111"/>
    </row>
    <row r="213" spans="1:38" ht="13.5" customHeight="1">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row>
    <row r="214" spans="1:38" ht="13.5" customHeight="1">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row>
    <row r="215" spans="1:38" ht="13.5" customHeight="1">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1"/>
      <c r="AJ215" s="111"/>
      <c r="AK215" s="111"/>
      <c r="AL215" s="111"/>
    </row>
    <row r="216" spans="1:38" ht="13.5" customHeight="1">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1"/>
      <c r="AJ216" s="111"/>
      <c r="AK216" s="111"/>
      <c r="AL216" s="111"/>
    </row>
    <row r="217" spans="1:38" ht="13.5" customHeight="1">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row>
    <row r="218" spans="1:38" ht="13.5" customHeight="1">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row>
    <row r="219" spans="1:38" ht="13.5" customHeight="1">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11"/>
    </row>
    <row r="220" spans="1:38" ht="13.5" customHeight="1">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row>
    <row r="221" spans="1:38" ht="13.5" customHeight="1">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11"/>
    </row>
    <row r="222" spans="1:38" ht="13.5" customHeight="1">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11"/>
    </row>
    <row r="223" spans="1:38" ht="13.5" customHeight="1">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11"/>
    </row>
    <row r="224" spans="1:38" ht="13.5" customHeight="1">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11"/>
      <c r="AK224" s="111"/>
      <c r="AL224" s="111"/>
    </row>
    <row r="225" spans="1:38" ht="13.5" customHeight="1">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11"/>
    </row>
    <row r="226" spans="1:38" ht="13.5" customHeight="1">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1"/>
      <c r="AJ226" s="111"/>
      <c r="AK226" s="111"/>
      <c r="AL226" s="111"/>
    </row>
    <row r="227" spans="1:38" ht="13.5" customHeight="1">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1"/>
      <c r="AJ227" s="111"/>
      <c r="AK227" s="111"/>
      <c r="AL227" s="111"/>
    </row>
    <row r="228" spans="1:38" ht="13.5" customHeight="1">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row>
    <row r="229" spans="1:38" ht="13.5" customHeight="1">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row>
    <row r="230" spans="1:38" ht="13.5" customHeight="1">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row>
    <row r="231" spans="1:38" ht="13.5" customHeight="1">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row>
    <row r="232" spans="1:38" ht="13.5" customHeight="1">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row>
    <row r="233" spans="1:38" ht="13.5" customHeight="1">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row>
    <row r="234" spans="1:38" ht="13.5" customHeight="1">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row>
    <row r="235" spans="1:38" ht="13.5" customHeight="1">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row>
    <row r="236" spans="1:38" ht="13.5" customHeight="1">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row>
    <row r="237" spans="1:38" ht="13.5" customHeight="1">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row>
    <row r="238" spans="1:38" ht="13.5" customHeight="1">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row>
    <row r="239" spans="1:38" ht="13.5" customHeight="1">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row>
    <row r="240" spans="1:38" ht="13.5" customHeight="1">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1"/>
      <c r="AJ240" s="111"/>
      <c r="AK240" s="111"/>
      <c r="AL240" s="111"/>
    </row>
    <row r="241" spans="1:38" ht="13.5" customHeight="1">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c r="AG241" s="111"/>
      <c r="AH241" s="111"/>
      <c r="AI241" s="111"/>
      <c r="AJ241" s="111"/>
      <c r="AK241" s="111"/>
      <c r="AL241" s="111"/>
    </row>
    <row r="242" spans="1:38" ht="13.5" customHeight="1">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c r="AG242" s="111"/>
      <c r="AH242" s="111"/>
      <c r="AI242" s="111"/>
      <c r="AJ242" s="111"/>
      <c r="AK242" s="111"/>
      <c r="AL242" s="111"/>
    </row>
    <row r="243" spans="1:38" ht="13.5" customHeight="1">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row>
    <row r="244" spans="1:38" ht="13.5" customHeight="1">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11"/>
      <c r="AL244" s="111"/>
    </row>
    <row r="245" spans="1:38" ht="13.5" customHeight="1">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111"/>
      <c r="AK245" s="111"/>
      <c r="AL245" s="111"/>
    </row>
    <row r="246" spans="1:38" ht="13.5" customHeight="1">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111"/>
      <c r="AK246" s="111"/>
      <c r="AL246" s="111"/>
    </row>
    <row r="247" spans="1:38" ht="13.5" customHeight="1">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row>
    <row r="248" spans="1:38" ht="13.5" customHeight="1">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row>
    <row r="249" spans="1:38" ht="13.5" customHeight="1">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row>
    <row r="250" spans="1:38" ht="13.5" customHeight="1">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row>
    <row r="251" spans="1:38" ht="13.5" customHeight="1">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row>
    <row r="252" spans="1:38" ht="13.5" customHeight="1">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row>
    <row r="253" spans="1:38" ht="13.5" customHeight="1">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1"/>
      <c r="AJ253" s="111"/>
      <c r="AK253" s="111"/>
      <c r="AL253" s="111"/>
    </row>
    <row r="254" spans="1:38" ht="13.5" customHeight="1">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1"/>
      <c r="AJ254" s="111"/>
      <c r="AK254" s="111"/>
      <c r="AL254" s="111"/>
    </row>
    <row r="255" spans="1:38" ht="13.5" customHeight="1">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c r="AK255" s="111"/>
      <c r="AL255" s="111"/>
    </row>
    <row r="256" spans="1:38" ht="13.5" customHeight="1">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1"/>
      <c r="AJ256" s="111"/>
      <c r="AK256" s="111"/>
      <c r="AL256" s="111"/>
    </row>
    <row r="257" spans="1:38" ht="13.5" customHeight="1">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row>
    <row r="258" spans="1:38" ht="13.5" customHeight="1">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row>
    <row r="259" spans="1:38" ht="13.5" customHeight="1">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1"/>
      <c r="AJ259" s="111"/>
      <c r="AK259" s="111"/>
      <c r="AL259" s="111"/>
    </row>
    <row r="260" spans="1:38" ht="13.5" customHeight="1">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1"/>
      <c r="AJ260" s="111"/>
      <c r="AK260" s="111"/>
      <c r="AL260" s="111"/>
    </row>
    <row r="261" spans="1:38" ht="13.5" customHeight="1">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11"/>
      <c r="AL261" s="111"/>
    </row>
    <row r="262" spans="1:38" ht="13.5" customHeight="1">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11"/>
      <c r="AL262" s="111"/>
    </row>
    <row r="263" spans="1:38" ht="13.5" customHeight="1">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1"/>
      <c r="AJ263" s="111"/>
      <c r="AK263" s="111"/>
      <c r="AL263" s="111"/>
    </row>
    <row r="264" spans="1:38" ht="13.5" customHeight="1">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row>
    <row r="265" spans="1:38" ht="13.5" customHeight="1">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1"/>
      <c r="AJ265" s="111"/>
      <c r="AK265" s="111"/>
      <c r="AL265" s="111"/>
    </row>
    <row r="266" spans="1:38" ht="13.5" customHeight="1">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1"/>
      <c r="AL266" s="111"/>
    </row>
    <row r="267" spans="1:38" ht="13.5" customHeight="1">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111"/>
      <c r="AL267" s="111"/>
    </row>
    <row r="268" spans="1:38" ht="13.5" customHeight="1">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1"/>
      <c r="AL268" s="111"/>
    </row>
    <row r="269" spans="1:38" ht="13.5" customHeight="1">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1"/>
      <c r="AJ269" s="111"/>
      <c r="AK269" s="111"/>
      <c r="AL269" s="111"/>
    </row>
    <row r="270" spans="1:38" ht="13.5" customHeight="1">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row>
    <row r="271" spans="1:38" ht="13.5" customHeight="1">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1"/>
      <c r="AJ271" s="111"/>
      <c r="AK271" s="111"/>
      <c r="AL271" s="111"/>
    </row>
    <row r="272" spans="1:38" ht="13.5" customHeight="1">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1"/>
      <c r="AJ272" s="111"/>
      <c r="AK272" s="111"/>
      <c r="AL272" s="111"/>
    </row>
    <row r="273" spans="1:38" ht="13.5" customHeight="1">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1"/>
      <c r="AJ273" s="111"/>
      <c r="AK273" s="111"/>
      <c r="AL273" s="111"/>
    </row>
    <row r="274" spans="1:38" ht="13.5" customHeight="1">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row>
    <row r="275" spans="1:38" ht="13.5" customHeight="1">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1"/>
      <c r="AK275" s="111"/>
      <c r="AL275" s="111"/>
    </row>
    <row r="276" spans="1:38" ht="13.5" customHeight="1">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111"/>
      <c r="AL276" s="111"/>
    </row>
    <row r="277" spans="1:38" ht="13.5" customHeight="1">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111"/>
      <c r="AL277" s="111"/>
    </row>
    <row r="278" spans="1:38" ht="13.5" customHeight="1">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111"/>
      <c r="AL278" s="111"/>
    </row>
    <row r="279" spans="1:38" ht="13.5" customHeight="1">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1"/>
      <c r="AJ279" s="111"/>
      <c r="AK279" s="111"/>
      <c r="AL279" s="111"/>
    </row>
    <row r="280" spans="1:38" ht="13.5" customHeight="1">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1"/>
      <c r="AJ280" s="111"/>
      <c r="AK280" s="111"/>
      <c r="AL280" s="111"/>
    </row>
    <row r="281" spans="1:38" ht="13.5" customHeight="1">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1"/>
      <c r="AJ281" s="111"/>
      <c r="AK281" s="111"/>
      <c r="AL281" s="111"/>
    </row>
    <row r="282" spans="1:38" ht="13.5" customHeight="1">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1"/>
      <c r="AJ282" s="111"/>
      <c r="AK282" s="111"/>
      <c r="AL282" s="111"/>
    </row>
    <row r="283" spans="1:38" ht="13.5" customHeight="1">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row>
    <row r="284" spans="1:38" ht="13.5" customHeight="1">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row>
    <row r="285" spans="1:38" ht="13.5" customHeight="1">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row>
    <row r="286" spans="1:38" ht="13.5" customHeight="1">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1"/>
      <c r="AJ286" s="111"/>
      <c r="AK286" s="111"/>
      <c r="AL286" s="111"/>
    </row>
    <row r="287" spans="1:38" ht="13.5" customHeight="1">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1"/>
      <c r="AJ287" s="111"/>
      <c r="AK287" s="111"/>
      <c r="AL287" s="111"/>
    </row>
    <row r="288" spans="1:38" ht="13.5" customHeight="1">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row>
    <row r="289" spans="1:38" ht="13.5" customHeight="1">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row>
    <row r="290" spans="1:38" ht="13.5" customHeight="1">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row>
    <row r="291" spans="1:38" ht="13.5" customHeight="1">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row>
    <row r="292" spans="1:38" ht="13.5" customHeight="1">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row>
    <row r="293" spans="1:38" ht="13.5" customHeight="1">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row>
    <row r="294" spans="1:38" ht="13.5" customHeight="1">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row>
    <row r="295" spans="1:38" ht="13.5" customHeight="1">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row>
    <row r="296" spans="1:38" ht="13.5" customHeight="1">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row>
    <row r="297" spans="1:38" ht="13.5" customHeight="1">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row>
    <row r="298" spans="1:38" ht="13.5" customHeight="1">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row>
    <row r="299" spans="1:38" ht="13.5" customHeight="1">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row>
    <row r="300" spans="1:38" ht="13.5" customHeight="1">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row>
    <row r="301" spans="1:38" ht="13.5" customHeight="1">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row>
    <row r="302" spans="1:38" ht="13.5" customHeight="1">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row>
    <row r="303" spans="1:38" ht="13.5" customHeight="1">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row>
    <row r="304" spans="1:38" ht="13.5" customHeight="1">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row>
    <row r="305" spans="1:38" ht="13.5" customHeight="1">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row>
    <row r="306" spans="1:38" ht="13.5" customHeight="1">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row>
    <row r="307" spans="1:38" ht="13.5" customHeight="1">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row>
    <row r="308" spans="1:38" ht="13.5" customHeight="1">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row>
    <row r="309" spans="1:38" ht="13.5" customHeight="1">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row>
    <row r="310" spans="1:38" ht="13.5" customHeight="1">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row>
    <row r="311" spans="1:38" ht="13.5" customHeight="1">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row>
    <row r="312" spans="1:38" ht="13.5" customHeight="1">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row>
    <row r="313" spans="1:38" ht="13.5" customHeight="1">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row>
    <row r="314" spans="1:38" ht="13.5" customHeight="1">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row>
    <row r="315" spans="1:38" ht="13.5" customHeight="1">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row>
    <row r="316" spans="1:38" ht="13.5" customHeight="1">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row>
    <row r="317" spans="1:38" ht="13.5" customHeight="1">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row>
    <row r="318" spans="1:38" ht="13.5" customHeight="1">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row>
    <row r="319" spans="1:38" ht="13.5" customHeight="1">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row>
    <row r="320" spans="1:38" ht="13.5" customHeight="1">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row>
    <row r="321" spans="1:38" ht="13.5" customHeight="1">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row>
    <row r="322" spans="1:38" ht="13.5" customHeight="1">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row>
    <row r="323" spans="1:38" ht="13.5" customHeight="1">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row>
    <row r="324" spans="1:38" ht="13.5" customHeight="1">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1"/>
      <c r="AL324" s="111"/>
    </row>
    <row r="325" spans="1:38" ht="13.5" customHeight="1">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row>
    <row r="326" spans="1:38" ht="13.5" customHeight="1">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1"/>
      <c r="AL326" s="111"/>
    </row>
    <row r="327" spans="1:38" ht="13.5" customHeight="1">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row>
    <row r="328" spans="1:38" ht="13.5" customHeight="1">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row>
    <row r="329" spans="1:38" ht="13.5" customHeight="1">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row>
    <row r="330" spans="1:38" ht="13.5" customHeight="1">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row>
    <row r="331" spans="1:38" ht="13.5" customHeight="1">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row>
    <row r="332" spans="1:38" ht="13.5" customHeight="1">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row>
    <row r="333" spans="1:38" ht="13.5" customHeight="1">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row>
    <row r="334" spans="1:38" ht="13.5" customHeight="1">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row>
    <row r="335" spans="1:38" ht="13.5" customHeight="1">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row>
    <row r="336" spans="1:38" ht="13.5" customHeight="1">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row>
    <row r="337" spans="1:38" ht="13.5" customHeight="1">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row>
    <row r="338" spans="1:38" ht="13.5" customHeight="1">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row>
    <row r="339" spans="1:38" ht="13.5" customHeight="1">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row>
    <row r="340" spans="1:38" ht="13.5" customHeight="1">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row>
    <row r="341" spans="1:38" ht="13.5" customHeight="1">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row>
    <row r="342" spans="1:38" ht="13.5" customHeight="1">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1"/>
      <c r="AL342" s="111"/>
    </row>
    <row r="343" spans="1:38" ht="13.5" customHeight="1">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1"/>
      <c r="AL343" s="111"/>
    </row>
    <row r="344" spans="1:38" ht="13.5" customHeight="1">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1"/>
      <c r="AL344" s="111"/>
    </row>
    <row r="345" spans="1:38" ht="13.5" customHeight="1">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1"/>
      <c r="AL345" s="111"/>
    </row>
    <row r="346" spans="1:38" ht="13.5" customHeight="1">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1"/>
      <c r="AL346" s="111"/>
    </row>
    <row r="347" spans="1:38" ht="13.5" customHeight="1">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1"/>
      <c r="AL347" s="111"/>
    </row>
    <row r="348" spans="1:38" ht="13.5" customHeight="1">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row>
    <row r="349" spans="1:38" ht="13.5" customHeight="1">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row>
    <row r="350" spans="1:38" ht="13.5" customHeight="1">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row>
    <row r="351" spans="1:38" ht="13.5" customHeight="1">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1"/>
      <c r="AL351" s="111"/>
    </row>
    <row r="352" spans="1:38" ht="13.5" customHeight="1">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1"/>
      <c r="AL352" s="111"/>
    </row>
    <row r="353" spans="1:38" ht="13.5" customHeight="1">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row>
    <row r="354" spans="1:38" ht="13.5" customHeight="1">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row>
    <row r="355" spans="1:38" ht="13.5" customHeight="1">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row>
    <row r="356" spans="1:38" ht="13.5" customHeight="1">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row>
    <row r="357" spans="1:38" ht="13.5" customHeight="1">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row>
    <row r="358" spans="1:38" ht="13.5" customHeight="1">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row>
    <row r="359" spans="1:38" ht="13.5" customHeight="1">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row>
    <row r="360" spans="1:38" ht="13.5" customHeight="1">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1"/>
      <c r="AL360" s="111"/>
    </row>
    <row r="361" spans="1:38" ht="13.5" customHeight="1">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row>
    <row r="362" spans="1:38" ht="13.5" customHeight="1">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row>
    <row r="363" spans="1:38" ht="13.5" customHeight="1">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row>
    <row r="364" spans="1:38" ht="13.5" customHeight="1">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row>
    <row r="365" spans="1:38" ht="13.5" customHeight="1">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row>
    <row r="366" spans="1:38" ht="13.5" customHeight="1">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row>
    <row r="367" spans="1:38" ht="13.5" customHeight="1">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row>
    <row r="368" spans="1:38" ht="13.5" customHeight="1">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row>
    <row r="369" spans="1:38" ht="13.5" customHeight="1">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row>
    <row r="370" spans="1:38" ht="13.5" customHeight="1">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row>
    <row r="371" spans="1:38" ht="13.5" customHeight="1">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row>
    <row r="372" spans="1:38" ht="13.5" customHeight="1">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row>
    <row r="373" spans="1:38" ht="13.5" customHeight="1">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row>
    <row r="374" spans="1:38" ht="13.5" customHeight="1">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row>
    <row r="375" spans="1:38" ht="13.5" customHeight="1">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1"/>
      <c r="AL375" s="111"/>
    </row>
    <row r="376" spans="1:38" ht="13.5" customHeight="1">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row>
    <row r="377" spans="1:38" ht="13.5" customHeight="1">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row>
    <row r="378" spans="1:38" ht="13.5" customHeight="1">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row>
    <row r="379" spans="1:38" ht="13.5" customHeight="1">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1"/>
      <c r="AL379" s="111"/>
    </row>
    <row r="380" spans="1:38" ht="13.5" customHeight="1">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row>
    <row r="381" spans="1:38" ht="13.5" customHeight="1">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row>
    <row r="382" spans="1:38" ht="13.5" customHeight="1">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row>
    <row r="383" spans="1:38" ht="13.5" customHeight="1">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row>
    <row r="384" spans="1:38" ht="13.5" customHeight="1">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row>
    <row r="385" spans="1:38" ht="13.5" customHeight="1">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row>
    <row r="386" spans="1:38" ht="13.5" customHeight="1">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row>
    <row r="387" spans="1:38" ht="13.5" customHeight="1">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row>
    <row r="388" spans="1:38" ht="13.5" customHeight="1">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row>
    <row r="389" spans="1:38" ht="13.5" customHeight="1">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row>
    <row r="390" spans="1:38" ht="13.5" customHeight="1">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row>
    <row r="391" spans="1:38" ht="13.5" customHeight="1">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1"/>
      <c r="AL391" s="111"/>
    </row>
    <row r="392" spans="1:38" ht="13.5" customHeight="1">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row>
    <row r="393" spans="1:38" ht="13.5" customHeight="1">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row>
    <row r="394" spans="1:38" ht="13.5" customHeight="1">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row>
    <row r="395" spans="1:38" ht="13.5" customHeight="1">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row>
    <row r="396" spans="1:38" ht="13.5" customHeight="1">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row>
    <row r="397" spans="1:38" ht="13.5" customHeight="1">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row>
    <row r="398" spans="1:38" ht="13.5" customHeight="1">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row>
    <row r="399" spans="1:38" ht="13.5" customHeight="1">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1"/>
      <c r="AL399" s="111"/>
    </row>
    <row r="400" spans="1:38" ht="13.5" customHeight="1">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1"/>
      <c r="AL400" s="111"/>
    </row>
    <row r="401" spans="1:38" ht="13.5" customHeight="1">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row>
    <row r="402" spans="1:38" ht="13.5" customHeight="1">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1"/>
      <c r="AL402" s="111"/>
    </row>
    <row r="403" spans="1:38" ht="13.5" customHeight="1">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row>
    <row r="404" spans="1:38" ht="13.5" customHeight="1">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row>
    <row r="405" spans="1:38" ht="13.5" customHeight="1">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1"/>
      <c r="AL405" s="111"/>
    </row>
    <row r="406" spans="1:38" ht="13.5" customHeight="1">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1"/>
      <c r="AL406" s="111"/>
    </row>
    <row r="407" spans="1:38" ht="13.5" customHeight="1">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1"/>
      <c r="AL407" s="111"/>
    </row>
    <row r="408" spans="1:38" ht="13.5" customHeight="1">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row>
    <row r="409" spans="1:38" ht="13.5" customHeight="1">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row>
    <row r="410" spans="1:38" ht="13.5" customHeight="1">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row>
    <row r="411" spans="1:38" ht="13.5" customHeight="1">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1"/>
      <c r="AL411" s="111"/>
    </row>
    <row r="412" spans="1:38" ht="13.5" customHeight="1">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row>
    <row r="413" spans="1:38" ht="13.5" customHeight="1">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row>
    <row r="414" spans="1:38" ht="13.5" customHeight="1">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row>
    <row r="415" spans="1:38" ht="13.5" customHeight="1">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1"/>
      <c r="AL415" s="111"/>
    </row>
    <row r="416" spans="1:38" ht="13.5" customHeight="1">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1"/>
      <c r="AL416" s="111"/>
    </row>
    <row r="417" spans="1:38" ht="13.5" customHeight="1">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row>
    <row r="418" spans="1:38" ht="13.5" customHeight="1">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1"/>
      <c r="AL418" s="111"/>
    </row>
    <row r="419" spans="1:38" ht="13.5" customHeight="1">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1"/>
      <c r="AL419" s="111"/>
    </row>
    <row r="420" spans="1:38" ht="13.5" customHeight="1">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1"/>
      <c r="AL420" s="111"/>
    </row>
    <row r="421" spans="1:38" ht="13.5" customHeight="1">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1"/>
      <c r="AL421" s="111"/>
    </row>
    <row r="422" spans="1:38" ht="13.5" customHeight="1">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1"/>
      <c r="AL422" s="111"/>
    </row>
    <row r="423" spans="1:38" ht="13.5" customHeight="1">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1"/>
      <c r="AL423" s="111"/>
    </row>
    <row r="424" spans="1:38" ht="13.5" customHeight="1">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1"/>
      <c r="AL424" s="111"/>
    </row>
    <row r="425" spans="1:38" ht="13.5" customHeight="1">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1"/>
      <c r="AL425" s="111"/>
    </row>
    <row r="426" spans="1:38" ht="13.5" customHeight="1">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row>
    <row r="427" spans="1:38" ht="13.5" customHeight="1">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row>
    <row r="428" spans="1:38" ht="13.5" customHeight="1">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row>
    <row r="429" spans="1:38" ht="13.5" customHeight="1">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row>
    <row r="430" spans="1:38" ht="13.5" customHeight="1">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row>
    <row r="431" spans="1:38" ht="13.5" customHeight="1">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row>
    <row r="432" spans="1:38" ht="13.5" customHeight="1">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row>
    <row r="433" spans="1:38" ht="13.5" customHeight="1">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row>
    <row r="434" spans="1:38" ht="13.5" customHeight="1">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row>
    <row r="435" spans="1:38" ht="13.5" customHeight="1">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row>
    <row r="436" spans="1:38" ht="13.5" customHeight="1">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row>
    <row r="437" spans="1:38" ht="13.5" customHeight="1">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1"/>
      <c r="AL437" s="111"/>
    </row>
    <row r="438" spans="1:38" ht="13.5" customHeight="1">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1"/>
      <c r="AL438" s="111"/>
    </row>
    <row r="439" spans="1:38" ht="13.5" customHeight="1">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1"/>
      <c r="AL439" s="111"/>
    </row>
    <row r="440" spans="1:38" ht="13.5" customHeight="1">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1"/>
      <c r="AL440" s="111"/>
    </row>
    <row r="441" spans="1:38" ht="13.5" customHeight="1">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1"/>
      <c r="AL441" s="111"/>
    </row>
    <row r="442" spans="1:38" ht="13.5" customHeight="1">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1"/>
      <c r="AL442" s="111"/>
    </row>
    <row r="443" spans="1:38" ht="13.5" customHeight="1">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1"/>
      <c r="AL443" s="111"/>
    </row>
    <row r="444" spans="1:38" ht="13.5" customHeight="1">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row>
    <row r="445" spans="1:38" ht="13.5" customHeight="1">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row>
    <row r="446" spans="1:38" ht="13.5" customHeight="1">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row>
    <row r="447" spans="1:38" ht="13.5" customHeight="1">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1"/>
      <c r="AL447" s="111"/>
    </row>
    <row r="448" spans="1:38" ht="13.5" customHeight="1">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row>
    <row r="449" spans="1:38" ht="13.5" customHeight="1">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1"/>
      <c r="AL449" s="111"/>
    </row>
    <row r="450" spans="1:38" ht="13.5" customHeight="1">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1"/>
      <c r="AL450" s="111"/>
    </row>
    <row r="451" spans="1:38" ht="13.5" customHeight="1">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1"/>
      <c r="AL451" s="111"/>
    </row>
    <row r="452" spans="1:38" ht="13.5" customHeight="1">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row>
    <row r="453" spans="1:38" ht="13.5" customHeight="1">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1"/>
      <c r="AL453" s="111"/>
    </row>
    <row r="454" spans="1:38" ht="13.5" customHeight="1">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row>
    <row r="455" spans="1:38" ht="13.5" customHeight="1">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row>
    <row r="456" spans="1:38" ht="13.5" customHeight="1">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row>
    <row r="457" spans="1:38" ht="13.5" customHeight="1">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row>
    <row r="458" spans="1:38" ht="13.5" customHeight="1">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1"/>
      <c r="AL458" s="111"/>
    </row>
    <row r="459" spans="1:38" ht="13.5" customHeight="1">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1"/>
      <c r="AL459" s="111"/>
    </row>
    <row r="460" spans="1:38" ht="13.5" customHeight="1">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1"/>
      <c r="AL460" s="111"/>
    </row>
    <row r="461" spans="1:38" ht="13.5" customHeight="1">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1"/>
      <c r="AL461" s="111"/>
    </row>
    <row r="462" spans="1:38" ht="13.5" customHeight="1">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row>
    <row r="463" spans="1:38" ht="13.5" customHeight="1">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row>
    <row r="464" spans="1:38" ht="13.5" customHeight="1">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row>
    <row r="465" spans="1:38" ht="13.5" customHeight="1">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111"/>
      <c r="AL465" s="111"/>
    </row>
    <row r="466" spans="1:38" ht="13.5" customHeight="1">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1"/>
      <c r="AL466" s="111"/>
    </row>
    <row r="467" spans="1:38" ht="13.5" customHeight="1">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1"/>
      <c r="AL467" s="111"/>
    </row>
    <row r="468" spans="1:38" ht="13.5" customHeight="1">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row>
    <row r="469" spans="1:38" ht="13.5" customHeight="1">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1"/>
      <c r="AL469" s="111"/>
    </row>
    <row r="470" spans="1:38" ht="13.5" customHeight="1">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1"/>
      <c r="AL470" s="111"/>
    </row>
    <row r="471" spans="1:38" ht="13.5" customHeight="1">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1"/>
      <c r="AL471" s="111"/>
    </row>
    <row r="472" spans="1:38" ht="13.5" customHeight="1">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1"/>
      <c r="AL472" s="111"/>
    </row>
    <row r="473" spans="1:38" ht="13.5" customHeight="1">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1"/>
      <c r="AL473" s="111"/>
    </row>
    <row r="474" spans="1:38" ht="13.5" customHeight="1">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1"/>
      <c r="AL474" s="111"/>
    </row>
    <row r="475" spans="1:38" ht="13.5" customHeight="1">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1"/>
      <c r="AL475" s="111"/>
    </row>
    <row r="476" spans="1:38" ht="13.5" customHeight="1">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1"/>
      <c r="AL476" s="111"/>
    </row>
    <row r="477" spans="1:38" ht="13.5" customHeight="1">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1"/>
      <c r="AL477" s="111"/>
    </row>
    <row r="478" spans="1:38" ht="13.5" customHeight="1">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row>
    <row r="479" spans="1:38" ht="13.5" customHeight="1">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1"/>
      <c r="AL479" s="111"/>
    </row>
    <row r="480" spans="1:38" ht="13.5" customHeight="1">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1"/>
      <c r="AL480" s="111"/>
    </row>
    <row r="481" spans="1:38" ht="13.5" customHeight="1">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row>
    <row r="482" spans="1:38" ht="13.5" customHeight="1">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row>
    <row r="483" spans="1:38" ht="13.5" customHeight="1">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row>
    <row r="484" spans="1:38" ht="13.5" customHeight="1">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1"/>
      <c r="AL484" s="111"/>
    </row>
    <row r="485" spans="1:38" ht="13.5" customHeight="1">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1"/>
      <c r="AL485" s="111"/>
    </row>
    <row r="486" spans="1:38" ht="13.5" customHeight="1">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1"/>
      <c r="AL486" s="111"/>
    </row>
    <row r="487" spans="1:38" ht="13.5" customHeight="1">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1"/>
      <c r="AL487" s="111"/>
    </row>
    <row r="488" spans="1:38" ht="13.5" customHeight="1">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1"/>
      <c r="AL488" s="111"/>
    </row>
    <row r="489" spans="1:38" ht="13.5" customHeight="1">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1"/>
      <c r="AL489" s="111"/>
    </row>
    <row r="490" spans="1:38" ht="13.5" customHeight="1">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1"/>
      <c r="AL490" s="111"/>
    </row>
    <row r="491" spans="1:38" ht="13.5" customHeight="1">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1"/>
      <c r="AL491" s="111"/>
    </row>
    <row r="492" spans="1:38" ht="13.5" customHeight="1">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1"/>
      <c r="AL492" s="111"/>
    </row>
    <row r="493" spans="1:38" ht="13.5" customHeight="1">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1"/>
      <c r="AL493" s="111"/>
    </row>
    <row r="494" spans="1:38" ht="13.5" customHeight="1">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1"/>
      <c r="AL494" s="111"/>
    </row>
    <row r="495" spans="1:38" ht="13.5" customHeight="1">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1"/>
      <c r="AL495" s="111"/>
    </row>
    <row r="496" spans="1:38" ht="13.5" customHeight="1">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1"/>
      <c r="AL496" s="111"/>
    </row>
    <row r="497" spans="1:38" ht="13.5" customHeight="1">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1"/>
      <c r="AL497" s="111"/>
    </row>
    <row r="498" spans="1:38" ht="13.5" customHeight="1">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row>
    <row r="499" spans="1:38" ht="13.5" customHeight="1">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1"/>
      <c r="AL499" s="111"/>
    </row>
    <row r="500" spans="1:38" ht="13.5" customHeight="1">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1"/>
      <c r="AL500" s="111"/>
    </row>
    <row r="501" spans="1:38" ht="13.5" customHeight="1">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c r="AG501" s="111"/>
      <c r="AH501" s="111"/>
      <c r="AI501" s="111"/>
      <c r="AJ501" s="111"/>
      <c r="AK501" s="111"/>
      <c r="AL501" s="111"/>
    </row>
    <row r="502" spans="1:38" ht="13.5" customHeight="1">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c r="AG502" s="111"/>
      <c r="AH502" s="111"/>
      <c r="AI502" s="111"/>
      <c r="AJ502" s="111"/>
      <c r="AK502" s="111"/>
      <c r="AL502" s="111"/>
    </row>
    <row r="503" spans="1:38" ht="13.5" customHeight="1">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c r="AG503" s="111"/>
      <c r="AH503" s="111"/>
      <c r="AI503" s="111"/>
      <c r="AJ503" s="111"/>
      <c r="AK503" s="111"/>
      <c r="AL503" s="111"/>
    </row>
    <row r="504" spans="1:38" ht="13.5" customHeight="1">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c r="AG504" s="111"/>
      <c r="AH504" s="111"/>
      <c r="AI504" s="111"/>
      <c r="AJ504" s="111"/>
      <c r="AK504" s="111"/>
      <c r="AL504" s="111"/>
    </row>
    <row r="505" spans="1:38" ht="13.5" customHeight="1">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c r="AG505" s="111"/>
      <c r="AH505" s="111"/>
      <c r="AI505" s="111"/>
      <c r="AJ505" s="111"/>
      <c r="AK505" s="111"/>
      <c r="AL505" s="111"/>
    </row>
    <row r="506" spans="1:38" ht="13.5" customHeight="1">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c r="AH506" s="111"/>
      <c r="AI506" s="111"/>
      <c r="AJ506" s="111"/>
      <c r="AK506" s="111"/>
      <c r="AL506" s="111"/>
    </row>
    <row r="507" spans="1:38" ht="13.5" customHeight="1">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c r="AG507" s="111"/>
      <c r="AH507" s="111"/>
      <c r="AI507" s="111"/>
      <c r="AJ507" s="111"/>
      <c r="AK507" s="111"/>
      <c r="AL507" s="111"/>
    </row>
    <row r="508" spans="1:38" ht="13.5" customHeight="1">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c r="AH508" s="111"/>
      <c r="AI508" s="111"/>
      <c r="AJ508" s="111"/>
      <c r="AK508" s="111"/>
      <c r="AL508" s="111"/>
    </row>
    <row r="509" spans="1:38" ht="13.5" customHeight="1">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c r="AG509" s="111"/>
      <c r="AH509" s="111"/>
      <c r="AI509" s="111"/>
      <c r="AJ509" s="111"/>
      <c r="AK509" s="111"/>
      <c r="AL509" s="111"/>
    </row>
    <row r="510" spans="1:38" ht="13.5" customHeight="1">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c r="AG510" s="111"/>
      <c r="AH510" s="111"/>
      <c r="AI510" s="111"/>
      <c r="AJ510" s="111"/>
      <c r="AK510" s="111"/>
      <c r="AL510" s="111"/>
    </row>
    <row r="511" spans="1:38" ht="13.5" customHeight="1">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c r="AG511" s="111"/>
      <c r="AH511" s="111"/>
      <c r="AI511" s="111"/>
      <c r="AJ511" s="111"/>
      <c r="AK511" s="111"/>
      <c r="AL511" s="111"/>
    </row>
    <row r="512" spans="1:38" ht="13.5" customHeight="1">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c r="AH512" s="111"/>
      <c r="AI512" s="111"/>
      <c r="AJ512" s="111"/>
      <c r="AK512" s="111"/>
      <c r="AL512" s="111"/>
    </row>
    <row r="513" spans="1:38" ht="13.5" customHeight="1">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c r="AG513" s="111"/>
      <c r="AH513" s="111"/>
      <c r="AI513" s="111"/>
      <c r="AJ513" s="111"/>
      <c r="AK513" s="111"/>
      <c r="AL513" s="111"/>
    </row>
    <row r="514" spans="1:38" ht="13.5" customHeight="1">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c r="AG514" s="111"/>
      <c r="AH514" s="111"/>
      <c r="AI514" s="111"/>
      <c r="AJ514" s="111"/>
      <c r="AK514" s="111"/>
      <c r="AL514" s="111"/>
    </row>
    <row r="515" spans="1:38" ht="13.5" customHeight="1">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c r="AG515" s="111"/>
      <c r="AH515" s="111"/>
      <c r="AI515" s="111"/>
      <c r="AJ515" s="111"/>
      <c r="AK515" s="111"/>
      <c r="AL515" s="111"/>
    </row>
    <row r="516" spans="1:38" ht="13.5" customHeight="1">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row>
    <row r="517" spans="1:38" ht="13.5" customHeight="1">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row>
    <row r="518" spans="1:38" ht="13.5" customHeight="1">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row>
    <row r="519" spans="1:38" ht="13.5" customHeight="1">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c r="AG519" s="111"/>
      <c r="AH519" s="111"/>
      <c r="AI519" s="111"/>
      <c r="AJ519" s="111"/>
      <c r="AK519" s="111"/>
      <c r="AL519" s="111"/>
    </row>
    <row r="520" spans="1:38" ht="13.5" customHeight="1">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c r="AH520" s="111"/>
      <c r="AI520" s="111"/>
      <c r="AJ520" s="111"/>
      <c r="AK520" s="111"/>
      <c r="AL520" s="111"/>
    </row>
    <row r="521" spans="1:38" ht="13.5" customHeight="1">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c r="AG521" s="111"/>
      <c r="AH521" s="111"/>
      <c r="AI521" s="111"/>
      <c r="AJ521" s="111"/>
      <c r="AK521" s="111"/>
      <c r="AL521" s="111"/>
    </row>
    <row r="522" spans="1:38" ht="13.5" customHeight="1">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c r="AG522" s="111"/>
      <c r="AH522" s="111"/>
      <c r="AI522" s="111"/>
      <c r="AJ522" s="111"/>
      <c r="AK522" s="111"/>
      <c r="AL522" s="111"/>
    </row>
    <row r="523" spans="1:38" ht="13.5" customHeight="1">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c r="AG523" s="111"/>
      <c r="AH523" s="111"/>
      <c r="AI523" s="111"/>
      <c r="AJ523" s="111"/>
      <c r="AK523" s="111"/>
      <c r="AL523" s="111"/>
    </row>
    <row r="524" spans="1:38" ht="13.5" customHeight="1">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c r="AG524" s="111"/>
      <c r="AH524" s="111"/>
      <c r="AI524" s="111"/>
      <c r="AJ524" s="111"/>
      <c r="AK524" s="111"/>
      <c r="AL524" s="111"/>
    </row>
    <row r="525" spans="1:38" ht="13.5" customHeight="1">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c r="AG525" s="111"/>
      <c r="AH525" s="111"/>
      <c r="AI525" s="111"/>
      <c r="AJ525" s="111"/>
      <c r="AK525" s="111"/>
      <c r="AL525" s="111"/>
    </row>
    <row r="526" spans="1:38" ht="13.5" customHeight="1">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c r="AG526" s="111"/>
      <c r="AH526" s="111"/>
      <c r="AI526" s="111"/>
      <c r="AJ526" s="111"/>
      <c r="AK526" s="111"/>
      <c r="AL526" s="111"/>
    </row>
    <row r="527" spans="1:38" ht="13.5" customHeight="1">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c r="AG527" s="111"/>
      <c r="AH527" s="111"/>
      <c r="AI527" s="111"/>
      <c r="AJ527" s="111"/>
      <c r="AK527" s="111"/>
      <c r="AL527" s="111"/>
    </row>
    <row r="528" spans="1:38" ht="13.5" customHeight="1">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c r="AG528" s="111"/>
      <c r="AH528" s="111"/>
      <c r="AI528" s="111"/>
      <c r="AJ528" s="111"/>
      <c r="AK528" s="111"/>
      <c r="AL528" s="111"/>
    </row>
    <row r="529" spans="1:38" ht="13.5" customHeight="1">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c r="AG529" s="111"/>
      <c r="AH529" s="111"/>
      <c r="AI529" s="111"/>
      <c r="AJ529" s="111"/>
      <c r="AK529" s="111"/>
      <c r="AL529" s="111"/>
    </row>
    <row r="530" spans="1:38" ht="13.5" customHeight="1">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c r="AG530" s="111"/>
      <c r="AH530" s="111"/>
      <c r="AI530" s="111"/>
      <c r="AJ530" s="111"/>
      <c r="AK530" s="111"/>
      <c r="AL530" s="111"/>
    </row>
    <row r="531" spans="1:38" ht="13.5" customHeight="1">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c r="AG531" s="111"/>
      <c r="AH531" s="111"/>
      <c r="AI531" s="111"/>
      <c r="AJ531" s="111"/>
      <c r="AK531" s="111"/>
      <c r="AL531" s="111"/>
    </row>
    <row r="532" spans="1:38" ht="13.5" customHeight="1">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c r="AG532" s="111"/>
      <c r="AH532" s="111"/>
      <c r="AI532" s="111"/>
      <c r="AJ532" s="111"/>
      <c r="AK532" s="111"/>
      <c r="AL532" s="111"/>
    </row>
    <row r="533" spans="1:38" ht="13.5" customHeight="1">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c r="AG533" s="111"/>
      <c r="AH533" s="111"/>
      <c r="AI533" s="111"/>
      <c r="AJ533" s="111"/>
      <c r="AK533" s="111"/>
      <c r="AL533" s="111"/>
    </row>
    <row r="534" spans="1:38" ht="13.5" customHeight="1">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c r="AG534" s="111"/>
      <c r="AH534" s="111"/>
      <c r="AI534" s="111"/>
      <c r="AJ534" s="111"/>
      <c r="AK534" s="111"/>
      <c r="AL534" s="111"/>
    </row>
    <row r="535" spans="1:38" ht="13.5" customHeight="1">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row>
    <row r="536" spans="1:38" ht="13.5" customHeight="1">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row>
    <row r="537" spans="1:38" ht="13.5" customHeight="1">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row>
    <row r="538" spans="1:38" ht="13.5" customHeight="1">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c r="AG538" s="111"/>
      <c r="AH538" s="111"/>
      <c r="AI538" s="111"/>
      <c r="AJ538" s="111"/>
      <c r="AK538" s="111"/>
      <c r="AL538" s="111"/>
    </row>
    <row r="539" spans="1:38" ht="13.5" customHeight="1">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c r="AG539" s="111"/>
      <c r="AH539" s="111"/>
      <c r="AI539" s="111"/>
      <c r="AJ539" s="111"/>
      <c r="AK539" s="111"/>
      <c r="AL539" s="111"/>
    </row>
    <row r="540" spans="1:38" ht="13.5" customHeight="1">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c r="AG540" s="111"/>
      <c r="AH540" s="111"/>
      <c r="AI540" s="111"/>
      <c r="AJ540" s="111"/>
      <c r="AK540" s="111"/>
      <c r="AL540" s="111"/>
    </row>
    <row r="541" spans="1:38" ht="13.5" customHeight="1">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c r="AH541" s="111"/>
      <c r="AI541" s="111"/>
      <c r="AJ541" s="111"/>
      <c r="AK541" s="111"/>
      <c r="AL541" s="111"/>
    </row>
    <row r="542" spans="1:38" ht="13.5" customHeight="1">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c r="AG542" s="111"/>
      <c r="AH542" s="111"/>
      <c r="AI542" s="111"/>
      <c r="AJ542" s="111"/>
      <c r="AK542" s="111"/>
      <c r="AL542" s="111"/>
    </row>
    <row r="543" spans="1:38" ht="13.5" customHeight="1">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c r="AG543" s="111"/>
      <c r="AH543" s="111"/>
      <c r="AI543" s="111"/>
      <c r="AJ543" s="111"/>
      <c r="AK543" s="111"/>
      <c r="AL543" s="111"/>
    </row>
    <row r="544" spans="1:38" ht="13.5" customHeight="1">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c r="AG544" s="111"/>
      <c r="AH544" s="111"/>
      <c r="AI544" s="111"/>
      <c r="AJ544" s="111"/>
      <c r="AK544" s="111"/>
      <c r="AL544" s="111"/>
    </row>
    <row r="545" spans="1:38" ht="13.5" customHeight="1">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c r="AG545" s="111"/>
      <c r="AH545" s="111"/>
      <c r="AI545" s="111"/>
      <c r="AJ545" s="111"/>
      <c r="AK545" s="111"/>
      <c r="AL545" s="111"/>
    </row>
    <row r="546" spans="1:38" ht="13.5" customHeight="1">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c r="AG546" s="111"/>
      <c r="AH546" s="111"/>
      <c r="AI546" s="111"/>
      <c r="AJ546" s="111"/>
      <c r="AK546" s="111"/>
      <c r="AL546" s="111"/>
    </row>
    <row r="547" spans="1:38" ht="13.5" customHeight="1">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c r="AG547" s="111"/>
      <c r="AH547" s="111"/>
      <c r="AI547" s="111"/>
      <c r="AJ547" s="111"/>
      <c r="AK547" s="111"/>
      <c r="AL547" s="111"/>
    </row>
    <row r="548" spans="1:38" ht="13.5" customHeight="1">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c r="AG548" s="111"/>
      <c r="AH548" s="111"/>
      <c r="AI548" s="111"/>
      <c r="AJ548" s="111"/>
      <c r="AK548" s="111"/>
      <c r="AL548" s="111"/>
    </row>
    <row r="549" spans="1:38" ht="13.5" customHeight="1">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c r="AG549" s="111"/>
      <c r="AH549" s="111"/>
      <c r="AI549" s="111"/>
      <c r="AJ549" s="111"/>
      <c r="AK549" s="111"/>
      <c r="AL549" s="111"/>
    </row>
    <row r="550" spans="1:38" ht="13.5" customHeight="1">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c r="AG550" s="111"/>
      <c r="AH550" s="111"/>
      <c r="AI550" s="111"/>
      <c r="AJ550" s="111"/>
      <c r="AK550" s="111"/>
      <c r="AL550" s="111"/>
    </row>
    <row r="551" spans="1:38" ht="13.5" customHeight="1">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c r="AG551" s="111"/>
      <c r="AH551" s="111"/>
      <c r="AI551" s="111"/>
      <c r="AJ551" s="111"/>
      <c r="AK551" s="111"/>
      <c r="AL551" s="111"/>
    </row>
    <row r="552" spans="1:38" ht="13.5" customHeight="1">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c r="AG552" s="111"/>
      <c r="AH552" s="111"/>
      <c r="AI552" s="111"/>
      <c r="AJ552" s="111"/>
      <c r="AK552" s="111"/>
      <c r="AL552" s="111"/>
    </row>
    <row r="553" spans="1:38" ht="13.5" customHeight="1">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c r="AG553" s="111"/>
      <c r="AH553" s="111"/>
      <c r="AI553" s="111"/>
      <c r="AJ553" s="111"/>
      <c r="AK553" s="111"/>
      <c r="AL553" s="111"/>
    </row>
    <row r="554" spans="1:38" ht="13.5" customHeight="1">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c r="AG554" s="111"/>
      <c r="AH554" s="111"/>
      <c r="AI554" s="111"/>
      <c r="AJ554" s="111"/>
      <c r="AK554" s="111"/>
      <c r="AL554" s="111"/>
    </row>
    <row r="555" spans="1:38" ht="13.5" customHeight="1">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c r="AG555" s="111"/>
      <c r="AH555" s="111"/>
      <c r="AI555" s="111"/>
      <c r="AJ555" s="111"/>
      <c r="AK555" s="111"/>
      <c r="AL555" s="111"/>
    </row>
    <row r="556" spans="1:38" ht="13.5" customHeight="1">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c r="AG556" s="111"/>
      <c r="AH556" s="111"/>
      <c r="AI556" s="111"/>
      <c r="AJ556" s="111"/>
      <c r="AK556" s="111"/>
      <c r="AL556" s="111"/>
    </row>
    <row r="557" spans="1:38" ht="13.5" customHeight="1">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c r="AG557" s="111"/>
      <c r="AH557" s="111"/>
      <c r="AI557" s="111"/>
      <c r="AJ557" s="111"/>
      <c r="AK557" s="111"/>
      <c r="AL557" s="111"/>
    </row>
    <row r="558" spans="1:38" ht="13.5" customHeight="1">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c r="AG558" s="111"/>
      <c r="AH558" s="111"/>
      <c r="AI558" s="111"/>
      <c r="AJ558" s="111"/>
      <c r="AK558" s="111"/>
      <c r="AL558" s="111"/>
    </row>
    <row r="559" spans="1:38" ht="13.5" customHeight="1">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c r="AG559" s="111"/>
      <c r="AH559" s="111"/>
      <c r="AI559" s="111"/>
      <c r="AJ559" s="111"/>
      <c r="AK559" s="111"/>
      <c r="AL559" s="111"/>
    </row>
    <row r="560" spans="1:38" ht="13.5" customHeight="1">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c r="AG560" s="111"/>
      <c r="AH560" s="111"/>
      <c r="AI560" s="111"/>
      <c r="AJ560" s="111"/>
      <c r="AK560" s="111"/>
      <c r="AL560" s="111"/>
    </row>
    <row r="561" spans="1:38" ht="13.5" customHeight="1">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c r="AG561" s="111"/>
      <c r="AH561" s="111"/>
      <c r="AI561" s="111"/>
      <c r="AJ561" s="111"/>
      <c r="AK561" s="111"/>
      <c r="AL561" s="111"/>
    </row>
    <row r="562" spans="1:38" ht="13.5" customHeight="1">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c r="AG562" s="111"/>
      <c r="AH562" s="111"/>
      <c r="AI562" s="111"/>
      <c r="AJ562" s="111"/>
      <c r="AK562" s="111"/>
      <c r="AL562" s="111"/>
    </row>
    <row r="563" spans="1:38" ht="13.5" customHeight="1">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c r="AG563" s="111"/>
      <c r="AH563" s="111"/>
      <c r="AI563" s="111"/>
      <c r="AJ563" s="111"/>
      <c r="AK563" s="111"/>
      <c r="AL563" s="111"/>
    </row>
    <row r="564" spans="1:38" ht="13.5" customHeight="1">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c r="AG564" s="111"/>
      <c r="AH564" s="111"/>
      <c r="AI564" s="111"/>
      <c r="AJ564" s="111"/>
      <c r="AK564" s="111"/>
      <c r="AL564" s="111"/>
    </row>
    <row r="565" spans="1:38" ht="13.5" customHeight="1">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c r="AG565" s="111"/>
      <c r="AH565" s="111"/>
      <c r="AI565" s="111"/>
      <c r="AJ565" s="111"/>
      <c r="AK565" s="111"/>
      <c r="AL565" s="111"/>
    </row>
    <row r="566" spans="1:38" ht="13.5" customHeight="1">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c r="AG566" s="111"/>
      <c r="AH566" s="111"/>
      <c r="AI566" s="111"/>
      <c r="AJ566" s="111"/>
      <c r="AK566" s="111"/>
      <c r="AL566" s="111"/>
    </row>
    <row r="567" spans="1:38" ht="13.5" customHeight="1">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c r="AG567" s="111"/>
      <c r="AH567" s="111"/>
      <c r="AI567" s="111"/>
      <c r="AJ567" s="111"/>
      <c r="AK567" s="111"/>
      <c r="AL567" s="111"/>
    </row>
    <row r="568" spans="1:38" ht="13.5" customHeight="1">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c r="AG568" s="111"/>
      <c r="AH568" s="111"/>
      <c r="AI568" s="111"/>
      <c r="AJ568" s="111"/>
      <c r="AK568" s="111"/>
      <c r="AL568" s="111"/>
    </row>
    <row r="569" spans="1:38" ht="13.5" customHeight="1">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c r="AG569" s="111"/>
      <c r="AH569" s="111"/>
      <c r="AI569" s="111"/>
      <c r="AJ569" s="111"/>
      <c r="AK569" s="111"/>
      <c r="AL569" s="111"/>
    </row>
    <row r="570" spans="1:38" ht="13.5" customHeight="1">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row>
    <row r="571" spans="1:38" ht="13.5" customHeight="1">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row>
    <row r="572" spans="1:38" ht="13.5" customHeight="1">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row>
    <row r="573" spans="1:38" ht="13.5" customHeight="1">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c r="AG573" s="111"/>
      <c r="AH573" s="111"/>
      <c r="AI573" s="111"/>
      <c r="AJ573" s="111"/>
      <c r="AK573" s="111"/>
      <c r="AL573" s="111"/>
    </row>
    <row r="574" spans="1:38" ht="13.5" customHeight="1">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c r="AG574" s="111"/>
      <c r="AH574" s="111"/>
      <c r="AI574" s="111"/>
      <c r="AJ574" s="111"/>
      <c r="AK574" s="111"/>
      <c r="AL574" s="111"/>
    </row>
    <row r="575" spans="1:38" ht="13.5" customHeight="1">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c r="AG575" s="111"/>
      <c r="AH575" s="111"/>
      <c r="AI575" s="111"/>
      <c r="AJ575" s="111"/>
      <c r="AK575" s="111"/>
      <c r="AL575" s="111"/>
    </row>
    <row r="576" spans="1:38" ht="13.5" customHeight="1">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c r="AG576" s="111"/>
      <c r="AH576" s="111"/>
      <c r="AI576" s="111"/>
      <c r="AJ576" s="111"/>
      <c r="AK576" s="111"/>
      <c r="AL576" s="111"/>
    </row>
    <row r="577" spans="1:38" ht="13.5" customHeight="1">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c r="AG577" s="111"/>
      <c r="AH577" s="111"/>
      <c r="AI577" s="111"/>
      <c r="AJ577" s="111"/>
      <c r="AK577" s="111"/>
      <c r="AL577" s="111"/>
    </row>
    <row r="578" spans="1:38" ht="13.5" customHeight="1">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c r="AG578" s="111"/>
      <c r="AH578" s="111"/>
      <c r="AI578" s="111"/>
      <c r="AJ578" s="111"/>
      <c r="AK578" s="111"/>
      <c r="AL578" s="111"/>
    </row>
    <row r="579" spans="1:38" ht="13.5" customHeight="1">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c r="AG579" s="111"/>
      <c r="AH579" s="111"/>
      <c r="AI579" s="111"/>
      <c r="AJ579" s="111"/>
      <c r="AK579" s="111"/>
      <c r="AL579" s="111"/>
    </row>
    <row r="580" spans="1:38" ht="13.5" customHeight="1">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c r="AG580" s="111"/>
      <c r="AH580" s="111"/>
      <c r="AI580" s="111"/>
      <c r="AJ580" s="111"/>
      <c r="AK580" s="111"/>
      <c r="AL580" s="111"/>
    </row>
    <row r="581" spans="1:38" ht="13.5" customHeight="1">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c r="AG581" s="111"/>
      <c r="AH581" s="111"/>
      <c r="AI581" s="111"/>
      <c r="AJ581" s="111"/>
      <c r="AK581" s="111"/>
      <c r="AL581" s="111"/>
    </row>
    <row r="582" spans="1:38" ht="13.5" customHeight="1">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c r="AG582" s="111"/>
      <c r="AH582" s="111"/>
      <c r="AI582" s="111"/>
      <c r="AJ582" s="111"/>
      <c r="AK582" s="111"/>
      <c r="AL582" s="111"/>
    </row>
    <row r="583" spans="1:38" ht="13.5" customHeight="1">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c r="AG583" s="111"/>
      <c r="AH583" s="111"/>
      <c r="AI583" s="111"/>
      <c r="AJ583" s="111"/>
      <c r="AK583" s="111"/>
      <c r="AL583" s="111"/>
    </row>
    <row r="584" spans="1:38" ht="13.5" customHeight="1">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c r="AD584" s="111"/>
      <c r="AE584" s="111"/>
      <c r="AF584" s="111"/>
      <c r="AG584" s="111"/>
      <c r="AH584" s="111"/>
      <c r="AI584" s="111"/>
      <c r="AJ584" s="111"/>
      <c r="AK584" s="111"/>
      <c r="AL584" s="111"/>
    </row>
    <row r="585" spans="1:38" ht="13.5" customHeight="1">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c r="AD585" s="111"/>
      <c r="AE585" s="111"/>
      <c r="AF585" s="111"/>
      <c r="AG585" s="111"/>
      <c r="AH585" s="111"/>
      <c r="AI585" s="111"/>
      <c r="AJ585" s="111"/>
      <c r="AK585" s="111"/>
      <c r="AL585" s="111"/>
    </row>
    <row r="586" spans="1:38" ht="13.5" customHeight="1">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c r="AD586" s="111"/>
      <c r="AE586" s="111"/>
      <c r="AF586" s="111"/>
      <c r="AG586" s="111"/>
      <c r="AH586" s="111"/>
      <c r="AI586" s="111"/>
      <c r="AJ586" s="111"/>
      <c r="AK586" s="111"/>
      <c r="AL586" s="111"/>
    </row>
    <row r="587" spans="1:38" ht="13.5" customHeight="1">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c r="AD587" s="111"/>
      <c r="AE587" s="111"/>
      <c r="AF587" s="111"/>
      <c r="AG587" s="111"/>
      <c r="AH587" s="111"/>
      <c r="AI587" s="111"/>
      <c r="AJ587" s="111"/>
      <c r="AK587" s="111"/>
      <c r="AL587" s="111"/>
    </row>
    <row r="588" spans="1:38" ht="13.5" customHeight="1">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c r="AD588" s="111"/>
      <c r="AE588" s="111"/>
      <c r="AF588" s="111"/>
      <c r="AG588" s="111"/>
      <c r="AH588" s="111"/>
      <c r="AI588" s="111"/>
      <c r="AJ588" s="111"/>
      <c r="AK588" s="111"/>
      <c r="AL588" s="111"/>
    </row>
    <row r="589" spans="1:38" ht="13.5" customHeight="1">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row>
    <row r="590" spans="1:38" ht="13.5" customHeight="1">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row>
    <row r="591" spans="1:38" ht="13.5" customHeight="1">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row>
    <row r="592" spans="1:38" ht="13.5" customHeight="1">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c r="AD592" s="111"/>
      <c r="AE592" s="111"/>
      <c r="AF592" s="111"/>
      <c r="AG592" s="111"/>
      <c r="AH592" s="111"/>
      <c r="AI592" s="111"/>
      <c r="AJ592" s="111"/>
      <c r="AK592" s="111"/>
      <c r="AL592" s="111"/>
    </row>
    <row r="593" spans="1:38" ht="13.5" customHeight="1">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c r="AD593" s="111"/>
      <c r="AE593" s="111"/>
      <c r="AF593" s="111"/>
      <c r="AG593" s="111"/>
      <c r="AH593" s="111"/>
      <c r="AI593" s="111"/>
      <c r="AJ593" s="111"/>
      <c r="AK593" s="111"/>
      <c r="AL593" s="111"/>
    </row>
    <row r="594" spans="1:38" ht="13.5" customHeight="1">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c r="AD594" s="111"/>
      <c r="AE594" s="111"/>
      <c r="AF594" s="111"/>
      <c r="AG594" s="111"/>
      <c r="AH594" s="111"/>
      <c r="AI594" s="111"/>
      <c r="AJ594" s="111"/>
      <c r="AK594" s="111"/>
      <c r="AL594" s="111"/>
    </row>
    <row r="595" spans="1:38" ht="13.5" customHeight="1">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c r="AD595" s="111"/>
      <c r="AE595" s="111"/>
      <c r="AF595" s="111"/>
      <c r="AG595" s="111"/>
      <c r="AH595" s="111"/>
      <c r="AI595" s="111"/>
      <c r="AJ595" s="111"/>
      <c r="AK595" s="111"/>
      <c r="AL595" s="111"/>
    </row>
    <row r="596" spans="1:38" ht="13.5" customHeight="1">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c r="AD596" s="111"/>
      <c r="AE596" s="111"/>
      <c r="AF596" s="111"/>
      <c r="AG596" s="111"/>
      <c r="AH596" s="111"/>
      <c r="AI596" s="111"/>
      <c r="AJ596" s="111"/>
      <c r="AK596" s="111"/>
      <c r="AL596" s="111"/>
    </row>
    <row r="597" spans="1:38" ht="13.5" customHeight="1">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c r="AD597" s="111"/>
      <c r="AE597" s="111"/>
      <c r="AF597" s="111"/>
      <c r="AG597" s="111"/>
      <c r="AH597" s="111"/>
      <c r="AI597" s="111"/>
      <c r="AJ597" s="111"/>
      <c r="AK597" s="111"/>
      <c r="AL597" s="111"/>
    </row>
    <row r="598" spans="1:38" ht="13.5" customHeight="1">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c r="AD598" s="111"/>
      <c r="AE598" s="111"/>
      <c r="AF598" s="111"/>
      <c r="AG598" s="111"/>
      <c r="AH598" s="111"/>
      <c r="AI598" s="111"/>
      <c r="AJ598" s="111"/>
      <c r="AK598" s="111"/>
      <c r="AL598" s="111"/>
    </row>
    <row r="599" spans="1:38" ht="13.5" customHeight="1">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c r="AD599" s="111"/>
      <c r="AE599" s="111"/>
      <c r="AF599" s="111"/>
      <c r="AG599" s="111"/>
      <c r="AH599" s="111"/>
      <c r="AI599" s="111"/>
      <c r="AJ599" s="111"/>
      <c r="AK599" s="111"/>
      <c r="AL599" s="111"/>
    </row>
    <row r="600" spans="1:38" ht="13.5" customHeight="1">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c r="AD600" s="111"/>
      <c r="AE600" s="111"/>
      <c r="AF600" s="111"/>
      <c r="AG600" s="111"/>
      <c r="AH600" s="111"/>
      <c r="AI600" s="111"/>
      <c r="AJ600" s="111"/>
      <c r="AK600" s="111"/>
      <c r="AL600" s="111"/>
    </row>
    <row r="601" spans="1:38" ht="13.5" customHeight="1">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c r="AG601" s="111"/>
      <c r="AH601" s="111"/>
      <c r="AI601" s="111"/>
      <c r="AJ601" s="111"/>
      <c r="AK601" s="111"/>
      <c r="AL601" s="111"/>
    </row>
    <row r="602" spans="1:38" ht="13.5" customHeight="1">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c r="AD602" s="111"/>
      <c r="AE602" s="111"/>
      <c r="AF602" s="111"/>
      <c r="AG602" s="111"/>
      <c r="AH602" s="111"/>
      <c r="AI602" s="111"/>
      <c r="AJ602" s="111"/>
      <c r="AK602" s="111"/>
      <c r="AL602" s="111"/>
    </row>
    <row r="603" spans="1:38" ht="13.5" customHeight="1">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c r="AD603" s="111"/>
      <c r="AE603" s="111"/>
      <c r="AF603" s="111"/>
      <c r="AG603" s="111"/>
      <c r="AH603" s="111"/>
      <c r="AI603" s="111"/>
      <c r="AJ603" s="111"/>
      <c r="AK603" s="111"/>
      <c r="AL603" s="111"/>
    </row>
    <row r="604" spans="1:38" ht="13.5" customHeight="1">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c r="AD604" s="111"/>
      <c r="AE604" s="111"/>
      <c r="AF604" s="111"/>
      <c r="AG604" s="111"/>
      <c r="AH604" s="111"/>
      <c r="AI604" s="111"/>
      <c r="AJ604" s="111"/>
      <c r="AK604" s="111"/>
      <c r="AL604" s="111"/>
    </row>
    <row r="605" spans="1:38" ht="13.5" customHeight="1">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c r="AD605" s="111"/>
      <c r="AE605" s="111"/>
      <c r="AF605" s="111"/>
      <c r="AG605" s="111"/>
      <c r="AH605" s="111"/>
      <c r="AI605" s="111"/>
      <c r="AJ605" s="111"/>
      <c r="AK605" s="111"/>
      <c r="AL605" s="111"/>
    </row>
    <row r="606" spans="1:38" ht="13.5" customHeight="1">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c r="AD606" s="111"/>
      <c r="AE606" s="111"/>
      <c r="AF606" s="111"/>
      <c r="AG606" s="111"/>
      <c r="AH606" s="111"/>
      <c r="AI606" s="111"/>
      <c r="AJ606" s="111"/>
      <c r="AK606" s="111"/>
      <c r="AL606" s="111"/>
    </row>
    <row r="607" spans="1:38" ht="13.5" customHeight="1">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c r="AG607" s="111"/>
      <c r="AH607" s="111"/>
      <c r="AI607" s="111"/>
      <c r="AJ607" s="111"/>
      <c r="AK607" s="111"/>
      <c r="AL607" s="111"/>
    </row>
    <row r="608" spans="1:38" ht="13.5" customHeight="1">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c r="AD608" s="111"/>
      <c r="AE608" s="111"/>
      <c r="AF608" s="111"/>
      <c r="AG608" s="111"/>
      <c r="AH608" s="111"/>
      <c r="AI608" s="111"/>
      <c r="AJ608" s="111"/>
      <c r="AK608" s="111"/>
      <c r="AL608" s="111"/>
    </row>
    <row r="609" spans="1:38" ht="13.5" customHeight="1">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c r="AD609" s="111"/>
      <c r="AE609" s="111"/>
      <c r="AF609" s="111"/>
      <c r="AG609" s="111"/>
      <c r="AH609" s="111"/>
      <c r="AI609" s="111"/>
      <c r="AJ609" s="111"/>
      <c r="AK609" s="111"/>
      <c r="AL609" s="111"/>
    </row>
    <row r="610" spans="1:38" ht="13.5" customHeight="1">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c r="AD610" s="111"/>
      <c r="AE610" s="111"/>
      <c r="AF610" s="111"/>
      <c r="AG610" s="111"/>
      <c r="AH610" s="111"/>
      <c r="AI610" s="111"/>
      <c r="AJ610" s="111"/>
      <c r="AK610" s="111"/>
      <c r="AL610" s="111"/>
    </row>
    <row r="611" spans="1:38" ht="13.5" customHeight="1">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c r="AD611" s="111"/>
      <c r="AE611" s="111"/>
      <c r="AF611" s="111"/>
      <c r="AG611" s="111"/>
      <c r="AH611" s="111"/>
      <c r="AI611" s="111"/>
      <c r="AJ611" s="111"/>
      <c r="AK611" s="111"/>
      <c r="AL611" s="111"/>
    </row>
    <row r="612" spans="1:38" ht="13.5" customHeight="1">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c r="AD612" s="111"/>
      <c r="AE612" s="111"/>
      <c r="AF612" s="111"/>
      <c r="AG612" s="111"/>
      <c r="AH612" s="111"/>
      <c r="AI612" s="111"/>
      <c r="AJ612" s="111"/>
      <c r="AK612" s="111"/>
      <c r="AL612" s="111"/>
    </row>
    <row r="613" spans="1:38" ht="13.5" customHeight="1">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c r="AD613" s="111"/>
      <c r="AE613" s="111"/>
      <c r="AF613" s="111"/>
      <c r="AG613" s="111"/>
      <c r="AH613" s="111"/>
      <c r="AI613" s="111"/>
      <c r="AJ613" s="111"/>
      <c r="AK613" s="111"/>
      <c r="AL613" s="111"/>
    </row>
    <row r="614" spans="1:38" ht="13.5" customHeight="1">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c r="AD614" s="111"/>
      <c r="AE614" s="111"/>
      <c r="AF614" s="111"/>
      <c r="AG614" s="111"/>
      <c r="AH614" s="111"/>
      <c r="AI614" s="111"/>
      <c r="AJ614" s="111"/>
      <c r="AK614" s="111"/>
      <c r="AL614" s="111"/>
    </row>
    <row r="615" spans="1:38" ht="13.5" customHeight="1">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c r="AD615" s="111"/>
      <c r="AE615" s="111"/>
      <c r="AF615" s="111"/>
      <c r="AG615" s="111"/>
      <c r="AH615" s="111"/>
      <c r="AI615" s="111"/>
      <c r="AJ615" s="111"/>
      <c r="AK615" s="111"/>
      <c r="AL615" s="111"/>
    </row>
    <row r="616" spans="1:38" ht="13.5" customHeight="1">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c r="AD616" s="111"/>
      <c r="AE616" s="111"/>
      <c r="AF616" s="111"/>
      <c r="AG616" s="111"/>
      <c r="AH616" s="111"/>
      <c r="AI616" s="111"/>
      <c r="AJ616" s="111"/>
      <c r="AK616" s="111"/>
      <c r="AL616" s="111"/>
    </row>
    <row r="617" spans="1:38" ht="13.5" customHeight="1">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c r="AD617" s="111"/>
      <c r="AE617" s="111"/>
      <c r="AF617" s="111"/>
      <c r="AG617" s="111"/>
      <c r="AH617" s="111"/>
      <c r="AI617" s="111"/>
      <c r="AJ617" s="111"/>
      <c r="AK617" s="111"/>
      <c r="AL617" s="111"/>
    </row>
    <row r="618" spans="1:38" ht="13.5" customHeight="1">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c r="AD618" s="111"/>
      <c r="AE618" s="111"/>
      <c r="AF618" s="111"/>
      <c r="AG618" s="111"/>
      <c r="AH618" s="111"/>
      <c r="AI618" s="111"/>
      <c r="AJ618" s="111"/>
      <c r="AK618" s="111"/>
      <c r="AL618" s="111"/>
    </row>
    <row r="619" spans="1:38" ht="13.5" customHeight="1">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c r="AD619" s="111"/>
      <c r="AE619" s="111"/>
      <c r="AF619" s="111"/>
      <c r="AG619" s="111"/>
      <c r="AH619" s="111"/>
      <c r="AI619" s="111"/>
      <c r="AJ619" s="111"/>
      <c r="AK619" s="111"/>
      <c r="AL619" s="111"/>
    </row>
    <row r="620" spans="1:38" ht="13.5" customHeight="1">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c r="AD620" s="111"/>
      <c r="AE620" s="111"/>
      <c r="AF620" s="111"/>
      <c r="AG620" s="111"/>
      <c r="AH620" s="111"/>
      <c r="AI620" s="111"/>
      <c r="AJ620" s="111"/>
      <c r="AK620" s="111"/>
      <c r="AL620" s="111"/>
    </row>
    <row r="621" spans="1:38" ht="13.5" customHeight="1">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c r="AD621" s="111"/>
      <c r="AE621" s="111"/>
      <c r="AF621" s="111"/>
      <c r="AG621" s="111"/>
      <c r="AH621" s="111"/>
      <c r="AI621" s="111"/>
      <c r="AJ621" s="111"/>
      <c r="AK621" s="111"/>
      <c r="AL621" s="111"/>
    </row>
    <row r="622" spans="1:38" ht="13.5" customHeight="1">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c r="AD622" s="111"/>
      <c r="AE622" s="111"/>
      <c r="AF622" s="111"/>
      <c r="AG622" s="111"/>
      <c r="AH622" s="111"/>
      <c r="AI622" s="111"/>
      <c r="AJ622" s="111"/>
      <c r="AK622" s="111"/>
      <c r="AL622" s="111"/>
    </row>
    <row r="623" spans="1:38" ht="13.5" customHeight="1">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c r="AD623" s="111"/>
      <c r="AE623" s="111"/>
      <c r="AF623" s="111"/>
      <c r="AG623" s="111"/>
      <c r="AH623" s="111"/>
      <c r="AI623" s="111"/>
      <c r="AJ623" s="111"/>
      <c r="AK623" s="111"/>
      <c r="AL623" s="111"/>
    </row>
    <row r="624" spans="1:38" ht="13.5" customHeight="1">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1"/>
      <c r="AL624" s="111"/>
    </row>
    <row r="625" spans="1:38" ht="13.5" customHeight="1">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row>
    <row r="626" spans="1:38" ht="13.5" customHeight="1">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row>
    <row r="627" spans="1:38" ht="13.5" customHeight="1">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c r="AD627" s="111"/>
      <c r="AE627" s="111"/>
      <c r="AF627" s="111"/>
      <c r="AG627" s="111"/>
      <c r="AH627" s="111"/>
      <c r="AI627" s="111"/>
      <c r="AJ627" s="111"/>
      <c r="AK627" s="111"/>
      <c r="AL627" s="111"/>
    </row>
    <row r="628" spans="1:38" ht="13.5" customHeight="1">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c r="AD628" s="111"/>
      <c r="AE628" s="111"/>
      <c r="AF628" s="111"/>
      <c r="AG628" s="111"/>
      <c r="AH628" s="111"/>
      <c r="AI628" s="111"/>
      <c r="AJ628" s="111"/>
      <c r="AK628" s="111"/>
      <c r="AL628" s="111"/>
    </row>
    <row r="629" spans="1:38" ht="13.5" customHeight="1">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c r="AD629" s="111"/>
      <c r="AE629" s="111"/>
      <c r="AF629" s="111"/>
      <c r="AG629" s="111"/>
      <c r="AH629" s="111"/>
      <c r="AI629" s="111"/>
      <c r="AJ629" s="111"/>
      <c r="AK629" s="111"/>
      <c r="AL629" s="111"/>
    </row>
    <row r="630" spans="1:38" ht="13.5" customHeight="1">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c r="AD630" s="111"/>
      <c r="AE630" s="111"/>
      <c r="AF630" s="111"/>
      <c r="AG630" s="111"/>
      <c r="AH630" s="111"/>
      <c r="AI630" s="111"/>
      <c r="AJ630" s="111"/>
      <c r="AK630" s="111"/>
      <c r="AL630" s="111"/>
    </row>
    <row r="631" spans="1:38" ht="13.5" customHeight="1">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c r="AD631" s="111"/>
      <c r="AE631" s="111"/>
      <c r="AF631" s="111"/>
      <c r="AG631" s="111"/>
      <c r="AH631" s="111"/>
      <c r="AI631" s="111"/>
      <c r="AJ631" s="111"/>
      <c r="AK631" s="111"/>
      <c r="AL631" s="111"/>
    </row>
    <row r="632" spans="1:38" ht="13.5" customHeight="1">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c r="AD632" s="111"/>
      <c r="AE632" s="111"/>
      <c r="AF632" s="111"/>
      <c r="AG632" s="111"/>
      <c r="AH632" s="111"/>
      <c r="AI632" s="111"/>
      <c r="AJ632" s="111"/>
      <c r="AK632" s="111"/>
      <c r="AL632" s="111"/>
    </row>
    <row r="633" spans="1:38" ht="13.5" customHeight="1">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c r="AD633" s="111"/>
      <c r="AE633" s="111"/>
      <c r="AF633" s="111"/>
      <c r="AG633" s="111"/>
      <c r="AH633" s="111"/>
      <c r="AI633" s="111"/>
      <c r="AJ633" s="111"/>
      <c r="AK633" s="111"/>
      <c r="AL633" s="111"/>
    </row>
    <row r="634" spans="1:38" ht="13.5" customHeight="1">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c r="AD634" s="111"/>
      <c r="AE634" s="111"/>
      <c r="AF634" s="111"/>
      <c r="AG634" s="111"/>
      <c r="AH634" s="111"/>
      <c r="AI634" s="111"/>
      <c r="AJ634" s="111"/>
      <c r="AK634" s="111"/>
      <c r="AL634" s="111"/>
    </row>
    <row r="635" spans="1:38" ht="13.5" customHeight="1">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c r="AD635" s="111"/>
      <c r="AE635" s="111"/>
      <c r="AF635" s="111"/>
      <c r="AG635" s="111"/>
      <c r="AH635" s="111"/>
      <c r="AI635" s="111"/>
      <c r="AJ635" s="111"/>
      <c r="AK635" s="111"/>
      <c r="AL635" s="111"/>
    </row>
    <row r="636" spans="1:38" ht="13.5" customHeight="1">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c r="AD636" s="111"/>
      <c r="AE636" s="111"/>
      <c r="AF636" s="111"/>
      <c r="AG636" s="111"/>
      <c r="AH636" s="111"/>
      <c r="AI636" s="111"/>
      <c r="AJ636" s="111"/>
      <c r="AK636" s="111"/>
      <c r="AL636" s="111"/>
    </row>
    <row r="637" spans="1:38" ht="13.5" customHeight="1">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c r="AD637" s="111"/>
      <c r="AE637" s="111"/>
      <c r="AF637" s="111"/>
      <c r="AG637" s="111"/>
      <c r="AH637" s="111"/>
      <c r="AI637" s="111"/>
      <c r="AJ637" s="111"/>
      <c r="AK637" s="111"/>
      <c r="AL637" s="111"/>
    </row>
    <row r="638" spans="1:38" ht="13.5" customHeight="1">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c r="AD638" s="111"/>
      <c r="AE638" s="111"/>
      <c r="AF638" s="111"/>
      <c r="AG638" s="111"/>
      <c r="AH638" s="111"/>
      <c r="AI638" s="111"/>
      <c r="AJ638" s="111"/>
      <c r="AK638" s="111"/>
      <c r="AL638" s="111"/>
    </row>
    <row r="639" spans="1:38" ht="13.5" customHeight="1">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c r="AD639" s="111"/>
      <c r="AE639" s="111"/>
      <c r="AF639" s="111"/>
      <c r="AG639" s="111"/>
      <c r="AH639" s="111"/>
      <c r="AI639" s="111"/>
      <c r="AJ639" s="111"/>
      <c r="AK639" s="111"/>
      <c r="AL639" s="111"/>
    </row>
    <row r="640" spans="1:38" ht="13.5" customHeight="1">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c r="AD640" s="111"/>
      <c r="AE640" s="111"/>
      <c r="AF640" s="111"/>
      <c r="AG640" s="111"/>
      <c r="AH640" s="111"/>
      <c r="AI640" s="111"/>
      <c r="AJ640" s="111"/>
      <c r="AK640" s="111"/>
      <c r="AL640" s="111"/>
    </row>
    <row r="641" spans="1:38" ht="13.5" customHeight="1">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c r="AD641" s="111"/>
      <c r="AE641" s="111"/>
      <c r="AF641" s="111"/>
      <c r="AG641" s="111"/>
      <c r="AH641" s="111"/>
      <c r="AI641" s="111"/>
      <c r="AJ641" s="111"/>
      <c r="AK641" s="111"/>
      <c r="AL641" s="111"/>
    </row>
    <row r="642" spans="1:38" ht="13.5" customHeight="1">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c r="AD642" s="111"/>
      <c r="AE642" s="111"/>
      <c r="AF642" s="111"/>
      <c r="AG642" s="111"/>
      <c r="AH642" s="111"/>
      <c r="AI642" s="111"/>
      <c r="AJ642" s="111"/>
      <c r="AK642" s="111"/>
      <c r="AL642" s="111"/>
    </row>
    <row r="643" spans="1:38" ht="13.5" customHeight="1">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row>
    <row r="644" spans="1:38" ht="13.5" customHeight="1">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row>
    <row r="645" spans="1:38" ht="13.5" customHeight="1">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row>
    <row r="646" spans="1:38" ht="13.5" customHeight="1">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c r="AD646" s="111"/>
      <c r="AE646" s="111"/>
      <c r="AF646" s="111"/>
      <c r="AG646" s="111"/>
      <c r="AH646" s="111"/>
      <c r="AI646" s="111"/>
      <c r="AJ646" s="111"/>
      <c r="AK646" s="111"/>
      <c r="AL646" s="111"/>
    </row>
    <row r="647" spans="1:38" ht="13.5" customHeight="1">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c r="AD647" s="111"/>
      <c r="AE647" s="111"/>
      <c r="AF647" s="111"/>
      <c r="AG647" s="111"/>
      <c r="AH647" s="111"/>
      <c r="AI647" s="111"/>
      <c r="AJ647" s="111"/>
      <c r="AK647" s="111"/>
      <c r="AL647" s="111"/>
    </row>
    <row r="648" spans="1:38" ht="13.5" customHeight="1">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c r="AD648" s="111"/>
      <c r="AE648" s="111"/>
      <c r="AF648" s="111"/>
      <c r="AG648" s="111"/>
      <c r="AH648" s="111"/>
      <c r="AI648" s="111"/>
      <c r="AJ648" s="111"/>
      <c r="AK648" s="111"/>
      <c r="AL648" s="111"/>
    </row>
    <row r="649" spans="1:38" ht="13.5" customHeight="1">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c r="AD649" s="111"/>
      <c r="AE649" s="111"/>
      <c r="AF649" s="111"/>
      <c r="AG649" s="111"/>
      <c r="AH649" s="111"/>
      <c r="AI649" s="111"/>
      <c r="AJ649" s="111"/>
      <c r="AK649" s="111"/>
      <c r="AL649" s="111"/>
    </row>
    <row r="650" spans="1:38" ht="13.5" customHeight="1">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1"/>
      <c r="AG650" s="111"/>
      <c r="AH650" s="111"/>
      <c r="AI650" s="111"/>
      <c r="AJ650" s="111"/>
      <c r="AK650" s="111"/>
      <c r="AL650" s="111"/>
    </row>
    <row r="651" spans="1:38" ht="13.5" customHeight="1">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c r="AD651" s="111"/>
      <c r="AE651" s="111"/>
      <c r="AF651" s="111"/>
      <c r="AG651" s="111"/>
      <c r="AH651" s="111"/>
      <c r="AI651" s="111"/>
      <c r="AJ651" s="111"/>
      <c r="AK651" s="111"/>
      <c r="AL651" s="111"/>
    </row>
    <row r="652" spans="1:38" ht="13.5" customHeight="1">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c r="AD652" s="111"/>
      <c r="AE652" s="111"/>
      <c r="AF652" s="111"/>
      <c r="AG652" s="111"/>
      <c r="AH652" s="111"/>
      <c r="AI652" s="111"/>
      <c r="AJ652" s="111"/>
      <c r="AK652" s="111"/>
      <c r="AL652" s="111"/>
    </row>
    <row r="653" spans="1:38" ht="13.5" customHeight="1">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c r="AD653" s="111"/>
      <c r="AE653" s="111"/>
      <c r="AF653" s="111"/>
      <c r="AG653" s="111"/>
      <c r="AH653" s="111"/>
      <c r="AI653" s="111"/>
      <c r="AJ653" s="111"/>
      <c r="AK653" s="111"/>
      <c r="AL653" s="111"/>
    </row>
    <row r="654" spans="1:38" ht="13.5" customHeight="1">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c r="AD654" s="111"/>
      <c r="AE654" s="111"/>
      <c r="AF654" s="111"/>
      <c r="AG654" s="111"/>
      <c r="AH654" s="111"/>
      <c r="AI654" s="111"/>
      <c r="AJ654" s="111"/>
      <c r="AK654" s="111"/>
      <c r="AL654" s="111"/>
    </row>
    <row r="655" spans="1:38" ht="13.5" customHeight="1">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c r="AD655" s="111"/>
      <c r="AE655" s="111"/>
      <c r="AF655" s="111"/>
      <c r="AG655" s="111"/>
      <c r="AH655" s="111"/>
      <c r="AI655" s="111"/>
      <c r="AJ655" s="111"/>
      <c r="AK655" s="111"/>
      <c r="AL655" s="111"/>
    </row>
    <row r="656" spans="1:38" ht="13.5" customHeight="1">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c r="AD656" s="111"/>
      <c r="AE656" s="111"/>
      <c r="AF656" s="111"/>
      <c r="AG656" s="111"/>
      <c r="AH656" s="111"/>
      <c r="AI656" s="111"/>
      <c r="AJ656" s="111"/>
      <c r="AK656" s="111"/>
      <c r="AL656" s="111"/>
    </row>
    <row r="657" spans="1:38" ht="13.5" customHeight="1">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c r="AD657" s="111"/>
      <c r="AE657" s="111"/>
      <c r="AF657" s="111"/>
      <c r="AG657" s="111"/>
      <c r="AH657" s="111"/>
      <c r="AI657" s="111"/>
      <c r="AJ657" s="111"/>
      <c r="AK657" s="111"/>
      <c r="AL657" s="111"/>
    </row>
    <row r="658" spans="1:38" ht="13.5" customHeight="1">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c r="AD658" s="111"/>
      <c r="AE658" s="111"/>
      <c r="AF658" s="111"/>
      <c r="AG658" s="111"/>
      <c r="AH658" s="111"/>
      <c r="AI658" s="111"/>
      <c r="AJ658" s="111"/>
      <c r="AK658" s="111"/>
      <c r="AL658" s="111"/>
    </row>
    <row r="659" spans="1:38" ht="13.5" customHeight="1">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c r="AD659" s="111"/>
      <c r="AE659" s="111"/>
      <c r="AF659" s="111"/>
      <c r="AG659" s="111"/>
      <c r="AH659" s="111"/>
      <c r="AI659" s="111"/>
      <c r="AJ659" s="111"/>
      <c r="AK659" s="111"/>
      <c r="AL659" s="111"/>
    </row>
    <row r="660" spans="1:38" ht="13.5" customHeight="1">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c r="AD660" s="111"/>
      <c r="AE660" s="111"/>
      <c r="AF660" s="111"/>
      <c r="AG660" s="111"/>
      <c r="AH660" s="111"/>
      <c r="AI660" s="111"/>
      <c r="AJ660" s="111"/>
      <c r="AK660" s="111"/>
      <c r="AL660" s="111"/>
    </row>
    <row r="661" spans="1:38" ht="13.5" customHeight="1">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c r="AD661" s="111"/>
      <c r="AE661" s="111"/>
      <c r="AF661" s="111"/>
      <c r="AG661" s="111"/>
      <c r="AH661" s="111"/>
      <c r="AI661" s="111"/>
      <c r="AJ661" s="111"/>
      <c r="AK661" s="111"/>
      <c r="AL661" s="111"/>
    </row>
    <row r="662" spans="1:38" ht="13.5" customHeight="1">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c r="AD662" s="111"/>
      <c r="AE662" s="111"/>
      <c r="AF662" s="111"/>
      <c r="AG662" s="111"/>
      <c r="AH662" s="111"/>
      <c r="AI662" s="111"/>
      <c r="AJ662" s="111"/>
      <c r="AK662" s="111"/>
      <c r="AL662" s="111"/>
    </row>
    <row r="663" spans="1:38" ht="13.5" customHeight="1">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c r="AD663" s="111"/>
      <c r="AE663" s="111"/>
      <c r="AF663" s="111"/>
      <c r="AG663" s="111"/>
      <c r="AH663" s="111"/>
      <c r="AI663" s="111"/>
      <c r="AJ663" s="111"/>
      <c r="AK663" s="111"/>
      <c r="AL663" s="111"/>
    </row>
    <row r="664" spans="1:38" ht="13.5" customHeight="1">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c r="AD664" s="111"/>
      <c r="AE664" s="111"/>
      <c r="AF664" s="111"/>
      <c r="AG664" s="111"/>
      <c r="AH664" s="111"/>
      <c r="AI664" s="111"/>
      <c r="AJ664" s="111"/>
      <c r="AK664" s="111"/>
      <c r="AL664" s="111"/>
    </row>
    <row r="665" spans="1:38" ht="13.5" customHeight="1">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c r="AD665" s="111"/>
      <c r="AE665" s="111"/>
      <c r="AF665" s="111"/>
      <c r="AG665" s="111"/>
      <c r="AH665" s="111"/>
      <c r="AI665" s="111"/>
      <c r="AJ665" s="111"/>
      <c r="AK665" s="111"/>
      <c r="AL665" s="111"/>
    </row>
    <row r="666" spans="1:38" ht="13.5" customHeight="1">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c r="AD666" s="111"/>
      <c r="AE666" s="111"/>
      <c r="AF666" s="111"/>
      <c r="AG666" s="111"/>
      <c r="AH666" s="111"/>
      <c r="AI666" s="111"/>
      <c r="AJ666" s="111"/>
      <c r="AK666" s="111"/>
      <c r="AL666" s="111"/>
    </row>
    <row r="667" spans="1:38" ht="13.5" customHeight="1">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c r="AD667" s="111"/>
      <c r="AE667" s="111"/>
      <c r="AF667" s="111"/>
      <c r="AG667" s="111"/>
      <c r="AH667" s="111"/>
      <c r="AI667" s="111"/>
      <c r="AJ667" s="111"/>
      <c r="AK667" s="111"/>
      <c r="AL667" s="111"/>
    </row>
    <row r="668" spans="1:38" ht="13.5" customHeight="1">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c r="AD668" s="111"/>
      <c r="AE668" s="111"/>
      <c r="AF668" s="111"/>
      <c r="AG668" s="111"/>
      <c r="AH668" s="111"/>
      <c r="AI668" s="111"/>
      <c r="AJ668" s="111"/>
      <c r="AK668" s="111"/>
      <c r="AL668" s="111"/>
    </row>
    <row r="669" spans="1:38" ht="13.5" customHeight="1">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c r="AD669" s="111"/>
      <c r="AE669" s="111"/>
      <c r="AF669" s="111"/>
      <c r="AG669" s="111"/>
      <c r="AH669" s="111"/>
      <c r="AI669" s="111"/>
      <c r="AJ669" s="111"/>
      <c r="AK669" s="111"/>
      <c r="AL669" s="111"/>
    </row>
    <row r="670" spans="1:38" ht="13.5" customHeight="1">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c r="AD670" s="111"/>
      <c r="AE670" s="111"/>
      <c r="AF670" s="111"/>
      <c r="AG670" s="111"/>
      <c r="AH670" s="111"/>
      <c r="AI670" s="111"/>
      <c r="AJ670" s="111"/>
      <c r="AK670" s="111"/>
      <c r="AL670" s="111"/>
    </row>
    <row r="671" spans="1:38" ht="13.5" customHeight="1">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c r="AD671" s="111"/>
      <c r="AE671" s="111"/>
      <c r="AF671" s="111"/>
      <c r="AG671" s="111"/>
      <c r="AH671" s="111"/>
      <c r="AI671" s="111"/>
      <c r="AJ671" s="111"/>
      <c r="AK671" s="111"/>
      <c r="AL671" s="111"/>
    </row>
    <row r="672" spans="1:38" ht="13.5" customHeight="1">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c r="AD672" s="111"/>
      <c r="AE672" s="111"/>
      <c r="AF672" s="111"/>
      <c r="AG672" s="111"/>
      <c r="AH672" s="111"/>
      <c r="AI672" s="111"/>
      <c r="AJ672" s="111"/>
      <c r="AK672" s="111"/>
      <c r="AL672" s="111"/>
    </row>
    <row r="673" spans="1:38" ht="13.5" customHeight="1">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c r="AD673" s="111"/>
      <c r="AE673" s="111"/>
      <c r="AF673" s="111"/>
      <c r="AG673" s="111"/>
      <c r="AH673" s="111"/>
      <c r="AI673" s="111"/>
      <c r="AJ673" s="111"/>
      <c r="AK673" s="111"/>
      <c r="AL673" s="111"/>
    </row>
    <row r="674" spans="1:38" ht="13.5" customHeight="1">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c r="AD674" s="111"/>
      <c r="AE674" s="111"/>
      <c r="AF674" s="111"/>
      <c r="AG674" s="111"/>
      <c r="AH674" s="111"/>
      <c r="AI674" s="111"/>
      <c r="AJ674" s="111"/>
      <c r="AK674" s="111"/>
      <c r="AL674" s="111"/>
    </row>
    <row r="675" spans="1:38" ht="13.5" customHeight="1">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c r="AD675" s="111"/>
      <c r="AE675" s="111"/>
      <c r="AF675" s="111"/>
      <c r="AG675" s="111"/>
      <c r="AH675" s="111"/>
      <c r="AI675" s="111"/>
      <c r="AJ675" s="111"/>
      <c r="AK675" s="111"/>
      <c r="AL675" s="111"/>
    </row>
    <row r="676" spans="1:38" ht="13.5" customHeight="1">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c r="AD676" s="111"/>
      <c r="AE676" s="111"/>
      <c r="AF676" s="111"/>
      <c r="AG676" s="111"/>
      <c r="AH676" s="111"/>
      <c r="AI676" s="111"/>
      <c r="AJ676" s="111"/>
      <c r="AK676" s="111"/>
      <c r="AL676" s="111"/>
    </row>
    <row r="677" spans="1:38" ht="13.5" customHeight="1">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c r="AD677" s="111"/>
      <c r="AE677" s="111"/>
      <c r="AF677" s="111"/>
      <c r="AG677" s="111"/>
      <c r="AH677" s="111"/>
      <c r="AI677" s="111"/>
      <c r="AJ677" s="111"/>
      <c r="AK677" s="111"/>
      <c r="AL677" s="111"/>
    </row>
    <row r="678" spans="1:38" ht="13.5" customHeight="1">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1"/>
      <c r="AL678" s="111"/>
    </row>
    <row r="679" spans="1:38" ht="13.5" customHeight="1">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row>
    <row r="680" spans="1:38" ht="13.5" customHeight="1">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c r="AD680" s="111"/>
      <c r="AE680" s="111"/>
      <c r="AF680" s="111"/>
      <c r="AG680" s="111"/>
      <c r="AH680" s="111"/>
      <c r="AI680" s="111"/>
      <c r="AJ680" s="111"/>
      <c r="AK680" s="111"/>
      <c r="AL680" s="111"/>
    </row>
    <row r="681" spans="1:38" ht="13.5" customHeight="1">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c r="AD681" s="111"/>
      <c r="AE681" s="111"/>
      <c r="AF681" s="111"/>
      <c r="AG681" s="111"/>
      <c r="AH681" s="111"/>
      <c r="AI681" s="111"/>
      <c r="AJ681" s="111"/>
      <c r="AK681" s="111"/>
      <c r="AL681" s="111"/>
    </row>
    <row r="682" spans="1:38" ht="13.5" customHeight="1">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c r="AD682" s="111"/>
      <c r="AE682" s="111"/>
      <c r="AF682" s="111"/>
      <c r="AG682" s="111"/>
      <c r="AH682" s="111"/>
      <c r="AI682" s="111"/>
      <c r="AJ682" s="111"/>
      <c r="AK682" s="111"/>
      <c r="AL682" s="111"/>
    </row>
    <row r="683" spans="1:38" ht="13.5" customHeight="1">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c r="AD683" s="111"/>
      <c r="AE683" s="111"/>
      <c r="AF683" s="111"/>
      <c r="AG683" s="111"/>
      <c r="AH683" s="111"/>
      <c r="AI683" s="111"/>
      <c r="AJ683" s="111"/>
      <c r="AK683" s="111"/>
      <c r="AL683" s="111"/>
    </row>
    <row r="684" spans="1:38" ht="13.5" customHeight="1">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c r="AD684" s="111"/>
      <c r="AE684" s="111"/>
      <c r="AF684" s="111"/>
      <c r="AG684" s="111"/>
      <c r="AH684" s="111"/>
      <c r="AI684" s="111"/>
      <c r="AJ684" s="111"/>
      <c r="AK684" s="111"/>
      <c r="AL684" s="111"/>
    </row>
    <row r="685" spans="1:38" ht="13.5" customHeight="1">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c r="AD685" s="111"/>
      <c r="AE685" s="111"/>
      <c r="AF685" s="111"/>
      <c r="AG685" s="111"/>
      <c r="AH685" s="111"/>
      <c r="AI685" s="111"/>
      <c r="AJ685" s="111"/>
      <c r="AK685" s="111"/>
      <c r="AL685" s="111"/>
    </row>
    <row r="686" spans="1:38" ht="13.5" customHeight="1">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c r="AG686" s="111"/>
      <c r="AH686" s="111"/>
      <c r="AI686" s="111"/>
      <c r="AJ686" s="111"/>
      <c r="AK686" s="111"/>
      <c r="AL686" s="111"/>
    </row>
    <row r="687" spans="1:38" ht="13.5" customHeight="1">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c r="AD687" s="111"/>
      <c r="AE687" s="111"/>
      <c r="AF687" s="111"/>
      <c r="AG687" s="111"/>
      <c r="AH687" s="111"/>
      <c r="AI687" s="111"/>
      <c r="AJ687" s="111"/>
      <c r="AK687" s="111"/>
      <c r="AL687" s="111"/>
    </row>
    <row r="688" spans="1:38" ht="13.5" customHeight="1">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c r="AD688" s="111"/>
      <c r="AE688" s="111"/>
      <c r="AF688" s="111"/>
      <c r="AG688" s="111"/>
      <c r="AH688" s="111"/>
      <c r="AI688" s="111"/>
      <c r="AJ688" s="111"/>
      <c r="AK688" s="111"/>
      <c r="AL688" s="111"/>
    </row>
    <row r="689" spans="1:38" ht="13.5" customHeight="1">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c r="AD689" s="111"/>
      <c r="AE689" s="111"/>
      <c r="AF689" s="111"/>
      <c r="AG689" s="111"/>
      <c r="AH689" s="111"/>
      <c r="AI689" s="111"/>
      <c r="AJ689" s="111"/>
      <c r="AK689" s="111"/>
      <c r="AL689" s="111"/>
    </row>
    <row r="690" spans="1:38" ht="13.5" customHeight="1">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c r="AD690" s="111"/>
      <c r="AE690" s="111"/>
      <c r="AF690" s="111"/>
      <c r="AG690" s="111"/>
      <c r="AH690" s="111"/>
      <c r="AI690" s="111"/>
      <c r="AJ690" s="111"/>
      <c r="AK690" s="111"/>
      <c r="AL690" s="111"/>
    </row>
    <row r="691" spans="1:38" ht="13.5" customHeight="1">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c r="AD691" s="111"/>
      <c r="AE691" s="111"/>
      <c r="AF691" s="111"/>
      <c r="AG691" s="111"/>
      <c r="AH691" s="111"/>
      <c r="AI691" s="111"/>
      <c r="AJ691" s="111"/>
      <c r="AK691" s="111"/>
      <c r="AL691" s="111"/>
    </row>
    <row r="692" spans="1:38" ht="13.5" customHeight="1">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c r="AD692" s="111"/>
      <c r="AE692" s="111"/>
      <c r="AF692" s="111"/>
      <c r="AG692" s="111"/>
      <c r="AH692" s="111"/>
      <c r="AI692" s="111"/>
      <c r="AJ692" s="111"/>
      <c r="AK692" s="111"/>
      <c r="AL692" s="111"/>
    </row>
    <row r="693" spans="1:38" ht="13.5" customHeight="1">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c r="AD693" s="111"/>
      <c r="AE693" s="111"/>
      <c r="AF693" s="111"/>
      <c r="AG693" s="111"/>
      <c r="AH693" s="111"/>
      <c r="AI693" s="111"/>
      <c r="AJ693" s="111"/>
      <c r="AK693" s="111"/>
      <c r="AL693" s="111"/>
    </row>
    <row r="694" spans="1:38" ht="13.5" customHeight="1">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c r="AD694" s="111"/>
      <c r="AE694" s="111"/>
      <c r="AF694" s="111"/>
      <c r="AG694" s="111"/>
      <c r="AH694" s="111"/>
      <c r="AI694" s="111"/>
      <c r="AJ694" s="111"/>
      <c r="AK694" s="111"/>
      <c r="AL694" s="111"/>
    </row>
    <row r="695" spans="1:38" ht="13.5" customHeight="1">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c r="AD695" s="111"/>
      <c r="AE695" s="111"/>
      <c r="AF695" s="111"/>
      <c r="AG695" s="111"/>
      <c r="AH695" s="111"/>
      <c r="AI695" s="111"/>
      <c r="AJ695" s="111"/>
      <c r="AK695" s="111"/>
      <c r="AL695" s="111"/>
    </row>
    <row r="696" spans="1:38" ht="13.5" customHeight="1">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c r="AD696" s="111"/>
      <c r="AE696" s="111"/>
      <c r="AF696" s="111"/>
      <c r="AG696" s="111"/>
      <c r="AH696" s="111"/>
      <c r="AI696" s="111"/>
      <c r="AJ696" s="111"/>
      <c r="AK696" s="111"/>
      <c r="AL696" s="111"/>
    </row>
    <row r="697" spans="1:38" ht="13.5" customHeight="1">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row>
    <row r="698" spans="1:38" ht="13.5" customHeight="1">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row>
    <row r="699" spans="1:38" ht="13.5" customHeight="1">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c r="AD699" s="111"/>
      <c r="AE699" s="111"/>
      <c r="AF699" s="111"/>
      <c r="AG699" s="111"/>
      <c r="AH699" s="111"/>
      <c r="AI699" s="111"/>
      <c r="AJ699" s="111"/>
      <c r="AK699" s="111"/>
      <c r="AL699" s="111"/>
    </row>
    <row r="700" spans="1:38" ht="13.5" customHeight="1">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c r="AD700" s="111"/>
      <c r="AE700" s="111"/>
      <c r="AF700" s="111"/>
      <c r="AG700" s="111"/>
      <c r="AH700" s="111"/>
      <c r="AI700" s="111"/>
      <c r="AJ700" s="111"/>
      <c r="AK700" s="111"/>
      <c r="AL700" s="111"/>
    </row>
    <row r="701" spans="1:38" ht="13.5" customHeight="1">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c r="AD701" s="111"/>
      <c r="AE701" s="111"/>
      <c r="AF701" s="111"/>
      <c r="AG701" s="111"/>
      <c r="AH701" s="111"/>
      <c r="AI701" s="111"/>
      <c r="AJ701" s="111"/>
      <c r="AK701" s="111"/>
      <c r="AL701" s="111"/>
    </row>
    <row r="702" spans="1:38" ht="13.5" customHeight="1">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c r="AD702" s="111"/>
      <c r="AE702" s="111"/>
      <c r="AF702" s="111"/>
      <c r="AG702" s="111"/>
      <c r="AH702" s="111"/>
      <c r="AI702" s="111"/>
      <c r="AJ702" s="111"/>
      <c r="AK702" s="111"/>
      <c r="AL702" s="111"/>
    </row>
    <row r="703" spans="1:38" ht="13.5" customHeight="1">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c r="AD703" s="111"/>
      <c r="AE703" s="111"/>
      <c r="AF703" s="111"/>
      <c r="AG703" s="111"/>
      <c r="AH703" s="111"/>
      <c r="AI703" s="111"/>
      <c r="AJ703" s="111"/>
      <c r="AK703" s="111"/>
      <c r="AL703" s="111"/>
    </row>
    <row r="704" spans="1:38" ht="13.5" customHeight="1">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c r="AD704" s="111"/>
      <c r="AE704" s="111"/>
      <c r="AF704" s="111"/>
      <c r="AG704" s="111"/>
      <c r="AH704" s="111"/>
      <c r="AI704" s="111"/>
      <c r="AJ704" s="111"/>
      <c r="AK704" s="111"/>
      <c r="AL704" s="111"/>
    </row>
    <row r="705" spans="1:38" ht="13.5" customHeight="1">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c r="AD705" s="111"/>
      <c r="AE705" s="111"/>
      <c r="AF705" s="111"/>
      <c r="AG705" s="111"/>
      <c r="AH705" s="111"/>
      <c r="AI705" s="111"/>
      <c r="AJ705" s="111"/>
      <c r="AK705" s="111"/>
      <c r="AL705" s="111"/>
    </row>
    <row r="706" spans="1:38" ht="13.5" customHeight="1">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c r="AD706" s="111"/>
      <c r="AE706" s="111"/>
      <c r="AF706" s="111"/>
      <c r="AG706" s="111"/>
      <c r="AH706" s="111"/>
      <c r="AI706" s="111"/>
      <c r="AJ706" s="111"/>
      <c r="AK706" s="111"/>
      <c r="AL706" s="111"/>
    </row>
    <row r="707" spans="1:38" ht="13.5" customHeight="1">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c r="AD707" s="111"/>
      <c r="AE707" s="111"/>
      <c r="AF707" s="111"/>
      <c r="AG707" s="111"/>
      <c r="AH707" s="111"/>
      <c r="AI707" s="111"/>
      <c r="AJ707" s="111"/>
      <c r="AK707" s="111"/>
      <c r="AL707" s="111"/>
    </row>
    <row r="708" spans="1:38" ht="13.5" customHeight="1">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c r="AD708" s="111"/>
      <c r="AE708" s="111"/>
      <c r="AF708" s="111"/>
      <c r="AG708" s="111"/>
      <c r="AH708" s="111"/>
      <c r="AI708" s="111"/>
      <c r="AJ708" s="111"/>
      <c r="AK708" s="111"/>
      <c r="AL708" s="111"/>
    </row>
    <row r="709" spans="1:38" ht="13.5" customHeight="1">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c r="AD709" s="111"/>
      <c r="AE709" s="111"/>
      <c r="AF709" s="111"/>
      <c r="AG709" s="111"/>
      <c r="AH709" s="111"/>
      <c r="AI709" s="111"/>
      <c r="AJ709" s="111"/>
      <c r="AK709" s="111"/>
      <c r="AL709" s="111"/>
    </row>
    <row r="710" spans="1:38" ht="13.5" customHeight="1">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c r="AD710" s="111"/>
      <c r="AE710" s="111"/>
      <c r="AF710" s="111"/>
      <c r="AG710" s="111"/>
      <c r="AH710" s="111"/>
      <c r="AI710" s="111"/>
      <c r="AJ710" s="111"/>
      <c r="AK710" s="111"/>
      <c r="AL710" s="111"/>
    </row>
    <row r="711" spans="1:38" ht="13.5" customHeight="1">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c r="AD711" s="111"/>
      <c r="AE711" s="111"/>
      <c r="AF711" s="111"/>
      <c r="AG711" s="111"/>
      <c r="AH711" s="111"/>
      <c r="AI711" s="111"/>
      <c r="AJ711" s="111"/>
      <c r="AK711" s="111"/>
      <c r="AL711" s="111"/>
    </row>
    <row r="712" spans="1:38" ht="13.5" customHeight="1">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c r="AD712" s="111"/>
      <c r="AE712" s="111"/>
      <c r="AF712" s="111"/>
      <c r="AG712" s="111"/>
      <c r="AH712" s="111"/>
      <c r="AI712" s="111"/>
      <c r="AJ712" s="111"/>
      <c r="AK712" s="111"/>
      <c r="AL712" s="111"/>
    </row>
    <row r="713" spans="1:38" ht="13.5" customHeight="1">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c r="AD713" s="111"/>
      <c r="AE713" s="111"/>
      <c r="AF713" s="111"/>
      <c r="AG713" s="111"/>
      <c r="AH713" s="111"/>
      <c r="AI713" s="111"/>
      <c r="AJ713" s="111"/>
      <c r="AK713" s="111"/>
      <c r="AL713" s="111"/>
    </row>
    <row r="714" spans="1:38" ht="13.5" customHeight="1">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c r="AD714" s="111"/>
      <c r="AE714" s="111"/>
      <c r="AF714" s="111"/>
      <c r="AG714" s="111"/>
      <c r="AH714" s="111"/>
      <c r="AI714" s="111"/>
      <c r="AJ714" s="111"/>
      <c r="AK714" s="111"/>
      <c r="AL714" s="111"/>
    </row>
    <row r="715" spans="1:38" ht="13.5" customHeight="1">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c r="AD715" s="111"/>
      <c r="AE715" s="111"/>
      <c r="AF715" s="111"/>
      <c r="AG715" s="111"/>
      <c r="AH715" s="111"/>
      <c r="AI715" s="111"/>
      <c r="AJ715" s="111"/>
      <c r="AK715" s="111"/>
      <c r="AL715" s="111"/>
    </row>
    <row r="716" spans="1:38" ht="13.5" customHeight="1">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c r="AD716" s="111"/>
      <c r="AE716" s="111"/>
      <c r="AF716" s="111"/>
      <c r="AG716" s="111"/>
      <c r="AH716" s="111"/>
      <c r="AI716" s="111"/>
      <c r="AJ716" s="111"/>
      <c r="AK716" s="111"/>
      <c r="AL716" s="111"/>
    </row>
    <row r="717" spans="1:38" ht="13.5" customHeight="1">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c r="AD717" s="111"/>
      <c r="AE717" s="111"/>
      <c r="AF717" s="111"/>
      <c r="AG717" s="111"/>
      <c r="AH717" s="111"/>
      <c r="AI717" s="111"/>
      <c r="AJ717" s="111"/>
      <c r="AK717" s="111"/>
      <c r="AL717" s="111"/>
    </row>
    <row r="718" spans="1:38" ht="13.5" customHeight="1">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c r="AG718" s="111"/>
      <c r="AH718" s="111"/>
      <c r="AI718" s="111"/>
      <c r="AJ718" s="111"/>
      <c r="AK718" s="111"/>
      <c r="AL718" s="111"/>
    </row>
    <row r="719" spans="1:38" ht="13.5" customHeight="1">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c r="AD719" s="111"/>
      <c r="AE719" s="111"/>
      <c r="AF719" s="111"/>
      <c r="AG719" s="111"/>
      <c r="AH719" s="111"/>
      <c r="AI719" s="111"/>
      <c r="AJ719" s="111"/>
      <c r="AK719" s="111"/>
      <c r="AL719" s="111"/>
    </row>
    <row r="720" spans="1:38" ht="13.5" customHeight="1">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c r="AD720" s="111"/>
      <c r="AE720" s="111"/>
      <c r="AF720" s="111"/>
      <c r="AG720" s="111"/>
      <c r="AH720" s="111"/>
      <c r="AI720" s="111"/>
      <c r="AJ720" s="111"/>
      <c r="AK720" s="111"/>
      <c r="AL720" s="111"/>
    </row>
    <row r="721" spans="1:38" ht="13.5" customHeight="1">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c r="AD721" s="111"/>
      <c r="AE721" s="111"/>
      <c r="AF721" s="111"/>
      <c r="AG721" s="111"/>
      <c r="AH721" s="111"/>
      <c r="AI721" s="111"/>
      <c r="AJ721" s="111"/>
      <c r="AK721" s="111"/>
      <c r="AL721" s="111"/>
    </row>
    <row r="722" spans="1:38" ht="13.5" customHeight="1">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c r="AD722" s="111"/>
      <c r="AE722" s="111"/>
      <c r="AF722" s="111"/>
      <c r="AG722" s="111"/>
      <c r="AH722" s="111"/>
      <c r="AI722" s="111"/>
      <c r="AJ722" s="111"/>
      <c r="AK722" s="111"/>
      <c r="AL722" s="111"/>
    </row>
    <row r="723" spans="1:38" ht="13.5" customHeight="1">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c r="AD723" s="111"/>
      <c r="AE723" s="111"/>
      <c r="AF723" s="111"/>
      <c r="AG723" s="111"/>
      <c r="AH723" s="111"/>
      <c r="AI723" s="111"/>
      <c r="AJ723" s="111"/>
      <c r="AK723" s="111"/>
      <c r="AL723" s="111"/>
    </row>
    <row r="724" spans="1:38" ht="13.5" customHeight="1">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c r="AD724" s="111"/>
      <c r="AE724" s="111"/>
      <c r="AF724" s="111"/>
      <c r="AG724" s="111"/>
      <c r="AH724" s="111"/>
      <c r="AI724" s="111"/>
      <c r="AJ724" s="111"/>
      <c r="AK724" s="111"/>
      <c r="AL724" s="111"/>
    </row>
    <row r="725" spans="1:38" ht="13.5" customHeight="1">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c r="AD725" s="111"/>
      <c r="AE725" s="111"/>
      <c r="AF725" s="111"/>
      <c r="AG725" s="111"/>
      <c r="AH725" s="111"/>
      <c r="AI725" s="111"/>
      <c r="AJ725" s="111"/>
      <c r="AK725" s="111"/>
      <c r="AL725" s="111"/>
    </row>
    <row r="726" spans="1:38" ht="13.5" customHeight="1">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c r="AD726" s="111"/>
      <c r="AE726" s="111"/>
      <c r="AF726" s="111"/>
      <c r="AG726" s="111"/>
      <c r="AH726" s="111"/>
      <c r="AI726" s="111"/>
      <c r="AJ726" s="111"/>
      <c r="AK726" s="111"/>
      <c r="AL726" s="111"/>
    </row>
    <row r="727" spans="1:38" ht="13.5" customHeight="1">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c r="AD727" s="111"/>
      <c r="AE727" s="111"/>
      <c r="AF727" s="111"/>
      <c r="AG727" s="111"/>
      <c r="AH727" s="111"/>
      <c r="AI727" s="111"/>
      <c r="AJ727" s="111"/>
      <c r="AK727" s="111"/>
      <c r="AL727" s="111"/>
    </row>
    <row r="728" spans="1:38" ht="13.5" customHeight="1">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c r="AD728" s="111"/>
      <c r="AE728" s="111"/>
      <c r="AF728" s="111"/>
      <c r="AG728" s="111"/>
      <c r="AH728" s="111"/>
      <c r="AI728" s="111"/>
      <c r="AJ728" s="111"/>
      <c r="AK728" s="111"/>
      <c r="AL728" s="111"/>
    </row>
    <row r="729" spans="1:38" ht="13.5" customHeight="1">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c r="AD729" s="111"/>
      <c r="AE729" s="111"/>
      <c r="AF729" s="111"/>
      <c r="AG729" s="111"/>
      <c r="AH729" s="111"/>
      <c r="AI729" s="111"/>
      <c r="AJ729" s="111"/>
      <c r="AK729" s="111"/>
      <c r="AL729" s="111"/>
    </row>
    <row r="730" spans="1:38" ht="13.5" customHeight="1">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c r="AD730" s="111"/>
      <c r="AE730" s="111"/>
      <c r="AF730" s="111"/>
      <c r="AG730" s="111"/>
      <c r="AH730" s="111"/>
      <c r="AI730" s="111"/>
      <c r="AJ730" s="111"/>
      <c r="AK730" s="111"/>
      <c r="AL730" s="111"/>
    </row>
    <row r="731" spans="1:38" ht="13.5" customHeight="1">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c r="AD731" s="111"/>
      <c r="AE731" s="111"/>
      <c r="AF731" s="111"/>
      <c r="AG731" s="111"/>
      <c r="AH731" s="111"/>
      <c r="AI731" s="111"/>
      <c r="AJ731" s="111"/>
      <c r="AK731" s="111"/>
      <c r="AL731" s="111"/>
    </row>
    <row r="732" spans="1:38" ht="13.5" customHeight="1">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c r="AD732" s="111"/>
      <c r="AE732" s="111"/>
      <c r="AF732" s="111"/>
      <c r="AG732" s="111"/>
      <c r="AH732" s="111"/>
      <c r="AI732" s="111"/>
      <c r="AJ732" s="111"/>
      <c r="AK732" s="111"/>
      <c r="AL732" s="111"/>
    </row>
    <row r="733" spans="1:38" ht="13.5" customHeight="1">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c r="AD733" s="111"/>
      <c r="AE733" s="111"/>
      <c r="AF733" s="111"/>
      <c r="AG733" s="111"/>
      <c r="AH733" s="111"/>
      <c r="AI733" s="111"/>
      <c r="AJ733" s="111"/>
      <c r="AK733" s="111"/>
      <c r="AL733" s="111"/>
    </row>
    <row r="734" spans="1:38" ht="13.5" customHeight="1">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c r="AD734" s="111"/>
      <c r="AE734" s="111"/>
      <c r="AF734" s="111"/>
      <c r="AG734" s="111"/>
      <c r="AH734" s="111"/>
      <c r="AI734" s="111"/>
      <c r="AJ734" s="111"/>
      <c r="AK734" s="111"/>
      <c r="AL734" s="111"/>
    </row>
    <row r="735" spans="1:38" ht="13.5" customHeight="1">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c r="AF735" s="111"/>
      <c r="AG735" s="111"/>
      <c r="AH735" s="111"/>
      <c r="AI735" s="111"/>
      <c r="AJ735" s="111"/>
      <c r="AK735" s="111"/>
      <c r="AL735" s="111"/>
    </row>
    <row r="736" spans="1:38" ht="13.5" customHeight="1">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c r="AD736" s="111"/>
      <c r="AE736" s="111"/>
      <c r="AF736" s="111"/>
      <c r="AG736" s="111"/>
      <c r="AH736" s="111"/>
      <c r="AI736" s="111"/>
      <c r="AJ736" s="111"/>
      <c r="AK736" s="111"/>
      <c r="AL736" s="111"/>
    </row>
    <row r="737" spans="1:38" ht="13.5" customHeight="1">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c r="AD737" s="111"/>
      <c r="AE737" s="111"/>
      <c r="AF737" s="111"/>
      <c r="AG737" s="111"/>
      <c r="AH737" s="111"/>
      <c r="AI737" s="111"/>
      <c r="AJ737" s="111"/>
      <c r="AK737" s="111"/>
      <c r="AL737" s="111"/>
    </row>
    <row r="738" spans="1:38" ht="13.5" customHeight="1">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c r="AD738" s="111"/>
      <c r="AE738" s="111"/>
      <c r="AF738" s="111"/>
      <c r="AG738" s="111"/>
      <c r="AH738" s="111"/>
      <c r="AI738" s="111"/>
      <c r="AJ738" s="111"/>
      <c r="AK738" s="111"/>
      <c r="AL738" s="111"/>
    </row>
    <row r="739" spans="1:38" ht="13.5" customHeight="1">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c r="AD739" s="111"/>
      <c r="AE739" s="111"/>
      <c r="AF739" s="111"/>
      <c r="AG739" s="111"/>
      <c r="AH739" s="111"/>
      <c r="AI739" s="111"/>
      <c r="AJ739" s="111"/>
      <c r="AK739" s="111"/>
      <c r="AL739" s="111"/>
    </row>
    <row r="740" spans="1:38" ht="13.5" customHeight="1">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c r="AD740" s="111"/>
      <c r="AE740" s="111"/>
      <c r="AF740" s="111"/>
      <c r="AG740" s="111"/>
      <c r="AH740" s="111"/>
      <c r="AI740" s="111"/>
      <c r="AJ740" s="111"/>
      <c r="AK740" s="111"/>
      <c r="AL740" s="111"/>
    </row>
    <row r="741" spans="1:38" ht="13.5" customHeight="1">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c r="AD741" s="111"/>
      <c r="AE741" s="111"/>
      <c r="AF741" s="111"/>
      <c r="AG741" s="111"/>
      <c r="AH741" s="111"/>
      <c r="AI741" s="111"/>
      <c r="AJ741" s="111"/>
      <c r="AK741" s="111"/>
      <c r="AL741" s="111"/>
    </row>
    <row r="742" spans="1:38" ht="13.5" customHeight="1">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c r="AD742" s="111"/>
      <c r="AE742" s="111"/>
      <c r="AF742" s="111"/>
      <c r="AG742" s="111"/>
      <c r="AH742" s="111"/>
      <c r="AI742" s="111"/>
      <c r="AJ742" s="111"/>
      <c r="AK742" s="111"/>
      <c r="AL742" s="111"/>
    </row>
    <row r="743" spans="1:38" ht="13.5" customHeight="1">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c r="AD743" s="111"/>
      <c r="AE743" s="111"/>
      <c r="AF743" s="111"/>
      <c r="AG743" s="111"/>
      <c r="AH743" s="111"/>
      <c r="AI743" s="111"/>
      <c r="AJ743" s="111"/>
      <c r="AK743" s="111"/>
      <c r="AL743" s="111"/>
    </row>
    <row r="744" spans="1:38" ht="13.5" customHeight="1">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c r="AD744" s="111"/>
      <c r="AE744" s="111"/>
      <c r="AF744" s="111"/>
      <c r="AG744" s="111"/>
      <c r="AH744" s="111"/>
      <c r="AI744" s="111"/>
      <c r="AJ744" s="111"/>
      <c r="AK744" s="111"/>
      <c r="AL744" s="111"/>
    </row>
    <row r="745" spans="1:38" ht="13.5" customHeight="1">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c r="AD745" s="111"/>
      <c r="AE745" s="111"/>
      <c r="AF745" s="111"/>
      <c r="AG745" s="111"/>
      <c r="AH745" s="111"/>
      <c r="AI745" s="111"/>
      <c r="AJ745" s="111"/>
      <c r="AK745" s="111"/>
      <c r="AL745" s="111"/>
    </row>
    <row r="746" spans="1:38" ht="13.5" customHeight="1">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c r="AD746" s="111"/>
      <c r="AE746" s="111"/>
      <c r="AF746" s="111"/>
      <c r="AG746" s="111"/>
      <c r="AH746" s="111"/>
      <c r="AI746" s="111"/>
      <c r="AJ746" s="111"/>
      <c r="AK746" s="111"/>
      <c r="AL746" s="111"/>
    </row>
    <row r="747" spans="1:38" ht="13.5" customHeight="1">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c r="AD747" s="111"/>
      <c r="AE747" s="111"/>
      <c r="AF747" s="111"/>
      <c r="AG747" s="111"/>
      <c r="AH747" s="111"/>
      <c r="AI747" s="111"/>
      <c r="AJ747" s="111"/>
      <c r="AK747" s="111"/>
      <c r="AL747" s="111"/>
    </row>
    <row r="748" spans="1:38" ht="13.5" customHeight="1">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c r="AD748" s="111"/>
      <c r="AE748" s="111"/>
      <c r="AF748" s="111"/>
      <c r="AG748" s="111"/>
      <c r="AH748" s="111"/>
      <c r="AI748" s="111"/>
      <c r="AJ748" s="111"/>
      <c r="AK748" s="111"/>
      <c r="AL748" s="111"/>
    </row>
    <row r="749" spans="1:38" ht="13.5" customHeight="1">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c r="AD749" s="111"/>
      <c r="AE749" s="111"/>
      <c r="AF749" s="111"/>
      <c r="AG749" s="111"/>
      <c r="AH749" s="111"/>
      <c r="AI749" s="111"/>
      <c r="AJ749" s="111"/>
      <c r="AK749" s="111"/>
      <c r="AL749" s="111"/>
    </row>
    <row r="750" spans="1:38" ht="13.5" customHeight="1">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c r="AD750" s="111"/>
      <c r="AE750" s="111"/>
      <c r="AF750" s="111"/>
      <c r="AG750" s="111"/>
      <c r="AH750" s="111"/>
      <c r="AI750" s="111"/>
      <c r="AJ750" s="111"/>
      <c r="AK750" s="111"/>
      <c r="AL750" s="111"/>
    </row>
    <row r="751" spans="1:38" ht="13.5" customHeight="1">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c r="AD751" s="111"/>
      <c r="AE751" s="111"/>
      <c r="AF751" s="111"/>
      <c r="AG751" s="111"/>
      <c r="AH751" s="111"/>
      <c r="AI751" s="111"/>
      <c r="AJ751" s="111"/>
      <c r="AK751" s="111"/>
      <c r="AL751" s="111"/>
    </row>
    <row r="752" spans="1:38" ht="13.5" customHeight="1">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c r="AD752" s="111"/>
      <c r="AE752" s="111"/>
      <c r="AF752" s="111"/>
      <c r="AG752" s="111"/>
      <c r="AH752" s="111"/>
      <c r="AI752" s="111"/>
      <c r="AJ752" s="111"/>
      <c r="AK752" s="111"/>
      <c r="AL752" s="111"/>
    </row>
    <row r="753" spans="1:38" ht="13.5" customHeight="1">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c r="AD753" s="111"/>
      <c r="AE753" s="111"/>
      <c r="AF753" s="111"/>
      <c r="AG753" s="111"/>
      <c r="AH753" s="111"/>
      <c r="AI753" s="111"/>
      <c r="AJ753" s="111"/>
      <c r="AK753" s="111"/>
      <c r="AL753" s="111"/>
    </row>
    <row r="754" spans="1:38" ht="13.5" customHeight="1">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c r="AD754" s="111"/>
      <c r="AE754" s="111"/>
      <c r="AF754" s="111"/>
      <c r="AG754" s="111"/>
      <c r="AH754" s="111"/>
      <c r="AI754" s="111"/>
      <c r="AJ754" s="111"/>
      <c r="AK754" s="111"/>
      <c r="AL754" s="111"/>
    </row>
    <row r="755" spans="1:38" ht="13.5" customHeight="1">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c r="AD755" s="111"/>
      <c r="AE755" s="111"/>
      <c r="AF755" s="111"/>
      <c r="AG755" s="111"/>
      <c r="AH755" s="111"/>
      <c r="AI755" s="111"/>
      <c r="AJ755" s="111"/>
      <c r="AK755" s="111"/>
      <c r="AL755" s="111"/>
    </row>
    <row r="756" spans="1:38" ht="13.5" customHeight="1">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c r="AD756" s="111"/>
      <c r="AE756" s="111"/>
      <c r="AF756" s="111"/>
      <c r="AG756" s="111"/>
      <c r="AH756" s="111"/>
      <c r="AI756" s="111"/>
      <c r="AJ756" s="111"/>
      <c r="AK756" s="111"/>
      <c r="AL756" s="111"/>
    </row>
    <row r="757" spans="1:38" ht="13.5" customHeight="1">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c r="AD757" s="111"/>
      <c r="AE757" s="111"/>
      <c r="AF757" s="111"/>
      <c r="AG757" s="111"/>
      <c r="AH757" s="111"/>
      <c r="AI757" s="111"/>
      <c r="AJ757" s="111"/>
      <c r="AK757" s="111"/>
      <c r="AL757" s="111"/>
    </row>
    <row r="758" spans="1:38" ht="13.5" customHeight="1">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c r="AD758" s="111"/>
      <c r="AE758" s="111"/>
      <c r="AF758" s="111"/>
      <c r="AG758" s="111"/>
      <c r="AH758" s="111"/>
      <c r="AI758" s="111"/>
      <c r="AJ758" s="111"/>
      <c r="AK758" s="111"/>
      <c r="AL758" s="111"/>
    </row>
    <row r="759" spans="1:38" ht="13.5" customHeight="1">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c r="AD759" s="111"/>
      <c r="AE759" s="111"/>
      <c r="AF759" s="111"/>
      <c r="AG759" s="111"/>
      <c r="AH759" s="111"/>
      <c r="AI759" s="111"/>
      <c r="AJ759" s="111"/>
      <c r="AK759" s="111"/>
      <c r="AL759" s="111"/>
    </row>
    <row r="760" spans="1:38" ht="13.5" customHeight="1">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c r="AD760" s="111"/>
      <c r="AE760" s="111"/>
      <c r="AF760" s="111"/>
      <c r="AG760" s="111"/>
      <c r="AH760" s="111"/>
      <c r="AI760" s="111"/>
      <c r="AJ760" s="111"/>
      <c r="AK760" s="111"/>
      <c r="AL760" s="111"/>
    </row>
    <row r="761" spans="1:38" ht="13.5" customHeight="1">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c r="AC761" s="111"/>
      <c r="AD761" s="111"/>
      <c r="AE761" s="111"/>
      <c r="AF761" s="111"/>
      <c r="AG761" s="111"/>
      <c r="AH761" s="111"/>
      <c r="AI761" s="111"/>
      <c r="AJ761" s="111"/>
      <c r="AK761" s="111"/>
      <c r="AL761" s="111"/>
    </row>
    <row r="762" spans="1:38" ht="13.5" customHeight="1">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c r="AC762" s="111"/>
      <c r="AD762" s="111"/>
      <c r="AE762" s="111"/>
      <c r="AF762" s="111"/>
      <c r="AG762" s="111"/>
      <c r="AH762" s="111"/>
      <c r="AI762" s="111"/>
      <c r="AJ762" s="111"/>
      <c r="AK762" s="111"/>
      <c r="AL762" s="111"/>
    </row>
    <row r="763" spans="1:38" ht="13.5" customHeight="1">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c r="AD763" s="111"/>
      <c r="AE763" s="111"/>
      <c r="AF763" s="111"/>
      <c r="AG763" s="111"/>
      <c r="AH763" s="111"/>
      <c r="AI763" s="111"/>
      <c r="AJ763" s="111"/>
      <c r="AK763" s="111"/>
      <c r="AL763" s="111"/>
    </row>
    <row r="764" spans="1:38" ht="13.5" customHeight="1">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c r="AD764" s="111"/>
      <c r="AE764" s="111"/>
      <c r="AF764" s="111"/>
      <c r="AG764" s="111"/>
      <c r="AH764" s="111"/>
      <c r="AI764" s="111"/>
      <c r="AJ764" s="111"/>
      <c r="AK764" s="111"/>
      <c r="AL764" s="111"/>
    </row>
    <row r="765" spans="1:38" ht="13.5" customHeight="1">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c r="AD765" s="111"/>
      <c r="AE765" s="111"/>
      <c r="AF765" s="111"/>
      <c r="AG765" s="111"/>
      <c r="AH765" s="111"/>
      <c r="AI765" s="111"/>
      <c r="AJ765" s="111"/>
      <c r="AK765" s="111"/>
      <c r="AL765" s="111"/>
    </row>
    <row r="766" spans="1:38" ht="13.5" customHeight="1">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c r="AD766" s="111"/>
      <c r="AE766" s="111"/>
      <c r="AF766" s="111"/>
      <c r="AG766" s="111"/>
      <c r="AH766" s="111"/>
      <c r="AI766" s="111"/>
      <c r="AJ766" s="111"/>
      <c r="AK766" s="111"/>
      <c r="AL766" s="111"/>
    </row>
    <row r="767" spans="1:38" ht="13.5" customHeight="1">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c r="AD767" s="111"/>
      <c r="AE767" s="111"/>
      <c r="AF767" s="111"/>
      <c r="AG767" s="111"/>
      <c r="AH767" s="111"/>
      <c r="AI767" s="111"/>
      <c r="AJ767" s="111"/>
      <c r="AK767" s="111"/>
      <c r="AL767" s="111"/>
    </row>
    <row r="768" spans="1:38" ht="13.5" customHeight="1">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c r="AD768" s="111"/>
      <c r="AE768" s="111"/>
      <c r="AF768" s="111"/>
      <c r="AG768" s="111"/>
      <c r="AH768" s="111"/>
      <c r="AI768" s="111"/>
      <c r="AJ768" s="111"/>
      <c r="AK768" s="111"/>
      <c r="AL768" s="111"/>
    </row>
    <row r="769" spans="1:38" ht="13.5" customHeight="1">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c r="AD769" s="111"/>
      <c r="AE769" s="111"/>
      <c r="AF769" s="111"/>
      <c r="AG769" s="111"/>
      <c r="AH769" s="111"/>
      <c r="AI769" s="111"/>
      <c r="AJ769" s="111"/>
      <c r="AK769" s="111"/>
      <c r="AL769" s="111"/>
    </row>
    <row r="770" spans="1:38" ht="13.5" customHeight="1">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c r="AD770" s="111"/>
      <c r="AE770" s="111"/>
      <c r="AF770" s="111"/>
      <c r="AG770" s="111"/>
      <c r="AH770" s="111"/>
      <c r="AI770" s="111"/>
      <c r="AJ770" s="111"/>
      <c r="AK770" s="111"/>
      <c r="AL770" s="111"/>
    </row>
    <row r="771" spans="1:38" ht="13.5" customHeight="1">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c r="AD771" s="111"/>
      <c r="AE771" s="111"/>
      <c r="AF771" s="111"/>
      <c r="AG771" s="111"/>
      <c r="AH771" s="111"/>
      <c r="AI771" s="111"/>
      <c r="AJ771" s="111"/>
      <c r="AK771" s="111"/>
      <c r="AL771" s="111"/>
    </row>
    <row r="772" spans="1:38" ht="13.5" customHeight="1">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c r="AD772" s="111"/>
      <c r="AE772" s="111"/>
      <c r="AF772" s="111"/>
      <c r="AG772" s="111"/>
      <c r="AH772" s="111"/>
      <c r="AI772" s="111"/>
      <c r="AJ772" s="111"/>
      <c r="AK772" s="111"/>
      <c r="AL772" s="111"/>
    </row>
    <row r="773" spans="1:38" ht="13.5" customHeight="1">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c r="AD773" s="111"/>
      <c r="AE773" s="111"/>
      <c r="AF773" s="111"/>
      <c r="AG773" s="111"/>
      <c r="AH773" s="111"/>
      <c r="AI773" s="111"/>
      <c r="AJ773" s="111"/>
      <c r="AK773" s="111"/>
      <c r="AL773" s="111"/>
    </row>
    <row r="774" spans="1:38" ht="13.5" customHeight="1">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c r="AD774" s="111"/>
      <c r="AE774" s="111"/>
      <c r="AF774" s="111"/>
      <c r="AG774" s="111"/>
      <c r="AH774" s="111"/>
      <c r="AI774" s="111"/>
      <c r="AJ774" s="111"/>
      <c r="AK774" s="111"/>
      <c r="AL774" s="111"/>
    </row>
    <row r="775" spans="1:38" ht="13.5" customHeight="1">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c r="AD775" s="111"/>
      <c r="AE775" s="111"/>
      <c r="AF775" s="111"/>
      <c r="AG775" s="111"/>
      <c r="AH775" s="111"/>
      <c r="AI775" s="111"/>
      <c r="AJ775" s="111"/>
      <c r="AK775" s="111"/>
      <c r="AL775" s="111"/>
    </row>
    <row r="776" spans="1:38" ht="13.5" customHeight="1">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c r="AD776" s="111"/>
      <c r="AE776" s="111"/>
      <c r="AF776" s="111"/>
      <c r="AG776" s="111"/>
      <c r="AH776" s="111"/>
      <c r="AI776" s="111"/>
      <c r="AJ776" s="111"/>
      <c r="AK776" s="111"/>
      <c r="AL776" s="111"/>
    </row>
    <row r="777" spans="1:38" ht="13.5" customHeight="1">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c r="AD777" s="111"/>
      <c r="AE777" s="111"/>
      <c r="AF777" s="111"/>
      <c r="AG777" s="111"/>
      <c r="AH777" s="111"/>
      <c r="AI777" s="111"/>
      <c r="AJ777" s="111"/>
      <c r="AK777" s="111"/>
      <c r="AL777" s="111"/>
    </row>
    <row r="778" spans="1:38" ht="13.5" customHeight="1">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c r="AD778" s="111"/>
      <c r="AE778" s="111"/>
      <c r="AF778" s="111"/>
      <c r="AG778" s="111"/>
      <c r="AH778" s="111"/>
      <c r="AI778" s="111"/>
      <c r="AJ778" s="111"/>
      <c r="AK778" s="111"/>
      <c r="AL778" s="111"/>
    </row>
    <row r="779" spans="1:38" ht="13.5" customHeight="1">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c r="AD779" s="111"/>
      <c r="AE779" s="111"/>
      <c r="AF779" s="111"/>
      <c r="AG779" s="111"/>
      <c r="AH779" s="111"/>
      <c r="AI779" s="111"/>
      <c r="AJ779" s="111"/>
      <c r="AK779" s="111"/>
      <c r="AL779" s="111"/>
    </row>
    <row r="780" spans="1:38" ht="13.5" customHeight="1">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c r="AD780" s="111"/>
      <c r="AE780" s="111"/>
      <c r="AF780" s="111"/>
      <c r="AG780" s="111"/>
      <c r="AH780" s="111"/>
      <c r="AI780" s="111"/>
      <c r="AJ780" s="111"/>
      <c r="AK780" s="111"/>
      <c r="AL780" s="111"/>
    </row>
    <row r="781" spans="1:38" ht="13.5" customHeight="1">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c r="AD781" s="111"/>
      <c r="AE781" s="111"/>
      <c r="AF781" s="111"/>
      <c r="AG781" s="111"/>
      <c r="AH781" s="111"/>
      <c r="AI781" s="111"/>
      <c r="AJ781" s="111"/>
      <c r="AK781" s="111"/>
      <c r="AL781" s="111"/>
    </row>
    <row r="782" spans="1:38" ht="13.5" customHeight="1">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c r="AD782" s="111"/>
      <c r="AE782" s="111"/>
      <c r="AF782" s="111"/>
      <c r="AG782" s="111"/>
      <c r="AH782" s="111"/>
      <c r="AI782" s="111"/>
      <c r="AJ782" s="111"/>
      <c r="AK782" s="111"/>
      <c r="AL782" s="111"/>
    </row>
    <row r="783" spans="1:38" ht="13.5" customHeight="1">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c r="AD783" s="111"/>
      <c r="AE783" s="111"/>
      <c r="AF783" s="111"/>
      <c r="AG783" s="111"/>
      <c r="AH783" s="111"/>
      <c r="AI783" s="111"/>
      <c r="AJ783" s="111"/>
      <c r="AK783" s="111"/>
      <c r="AL783" s="111"/>
    </row>
    <row r="784" spans="1:38" ht="13.5" customHeight="1">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c r="AD784" s="111"/>
      <c r="AE784" s="111"/>
      <c r="AF784" s="111"/>
      <c r="AG784" s="111"/>
      <c r="AH784" s="111"/>
      <c r="AI784" s="111"/>
      <c r="AJ784" s="111"/>
      <c r="AK784" s="111"/>
      <c r="AL784" s="111"/>
    </row>
    <row r="785" spans="1:38" ht="13.5" customHeight="1">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c r="AD785" s="111"/>
      <c r="AE785" s="111"/>
      <c r="AF785" s="111"/>
      <c r="AG785" s="111"/>
      <c r="AH785" s="111"/>
      <c r="AI785" s="111"/>
      <c r="AJ785" s="111"/>
      <c r="AK785" s="111"/>
      <c r="AL785" s="111"/>
    </row>
    <row r="786" spans="1:38" ht="13.5" customHeight="1">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c r="AD786" s="111"/>
      <c r="AE786" s="111"/>
      <c r="AF786" s="111"/>
      <c r="AG786" s="111"/>
      <c r="AH786" s="111"/>
      <c r="AI786" s="111"/>
      <c r="AJ786" s="111"/>
      <c r="AK786" s="111"/>
      <c r="AL786" s="111"/>
    </row>
    <row r="787" spans="1:38" ht="13.5" customHeight="1">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c r="AD787" s="111"/>
      <c r="AE787" s="111"/>
      <c r="AF787" s="111"/>
      <c r="AG787" s="111"/>
      <c r="AH787" s="111"/>
      <c r="AI787" s="111"/>
      <c r="AJ787" s="111"/>
      <c r="AK787" s="111"/>
      <c r="AL787" s="111"/>
    </row>
    <row r="788" spans="1:38" ht="13.5" customHeight="1">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c r="AD788" s="111"/>
      <c r="AE788" s="111"/>
      <c r="AF788" s="111"/>
      <c r="AG788" s="111"/>
      <c r="AH788" s="111"/>
      <c r="AI788" s="111"/>
      <c r="AJ788" s="111"/>
      <c r="AK788" s="111"/>
      <c r="AL788" s="111"/>
    </row>
    <row r="789" spans="1:38" ht="13.5" customHeight="1">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c r="AD789" s="111"/>
      <c r="AE789" s="111"/>
      <c r="AF789" s="111"/>
      <c r="AG789" s="111"/>
      <c r="AH789" s="111"/>
      <c r="AI789" s="111"/>
      <c r="AJ789" s="111"/>
      <c r="AK789" s="111"/>
      <c r="AL789" s="111"/>
    </row>
    <row r="790" spans="1:38" ht="13.5" customHeight="1">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c r="AD790" s="111"/>
      <c r="AE790" s="111"/>
      <c r="AF790" s="111"/>
      <c r="AG790" s="111"/>
      <c r="AH790" s="111"/>
      <c r="AI790" s="111"/>
      <c r="AJ790" s="111"/>
      <c r="AK790" s="111"/>
      <c r="AL790" s="111"/>
    </row>
    <row r="791" spans="1:38" ht="13.5" customHeight="1">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c r="AD791" s="111"/>
      <c r="AE791" s="111"/>
      <c r="AF791" s="111"/>
      <c r="AG791" s="111"/>
      <c r="AH791" s="111"/>
      <c r="AI791" s="111"/>
      <c r="AJ791" s="111"/>
      <c r="AK791" s="111"/>
      <c r="AL791" s="111"/>
    </row>
    <row r="792" spans="1:38" ht="13.5" customHeight="1">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c r="AD792" s="111"/>
      <c r="AE792" s="111"/>
      <c r="AF792" s="111"/>
      <c r="AG792" s="111"/>
      <c r="AH792" s="111"/>
      <c r="AI792" s="111"/>
      <c r="AJ792" s="111"/>
      <c r="AK792" s="111"/>
      <c r="AL792" s="111"/>
    </row>
    <row r="793" spans="1:38" ht="13.5" customHeight="1">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c r="AC793" s="111"/>
      <c r="AD793" s="111"/>
      <c r="AE793" s="111"/>
      <c r="AF793" s="111"/>
      <c r="AG793" s="111"/>
      <c r="AH793" s="111"/>
      <c r="AI793" s="111"/>
      <c r="AJ793" s="111"/>
      <c r="AK793" s="111"/>
      <c r="AL793" s="111"/>
    </row>
    <row r="794" spans="1:38" ht="13.5" customHeight="1">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c r="AC794" s="111"/>
      <c r="AD794" s="111"/>
      <c r="AE794" s="111"/>
      <c r="AF794" s="111"/>
      <c r="AG794" s="111"/>
      <c r="AH794" s="111"/>
      <c r="AI794" s="111"/>
      <c r="AJ794" s="111"/>
      <c r="AK794" s="111"/>
      <c r="AL794" s="111"/>
    </row>
    <row r="795" spans="1:38" ht="13.5" customHeight="1">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c r="AC795" s="111"/>
      <c r="AD795" s="111"/>
      <c r="AE795" s="111"/>
      <c r="AF795" s="111"/>
      <c r="AG795" s="111"/>
      <c r="AH795" s="111"/>
      <c r="AI795" s="111"/>
      <c r="AJ795" s="111"/>
      <c r="AK795" s="111"/>
      <c r="AL795" s="111"/>
    </row>
    <row r="796" spans="1:38" ht="13.5" customHeight="1">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c r="AD796" s="111"/>
      <c r="AE796" s="111"/>
      <c r="AF796" s="111"/>
      <c r="AG796" s="111"/>
      <c r="AH796" s="111"/>
      <c r="AI796" s="111"/>
      <c r="AJ796" s="111"/>
      <c r="AK796" s="111"/>
      <c r="AL796" s="111"/>
    </row>
    <row r="797" spans="1:38" ht="13.5" customHeight="1">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c r="AD797" s="111"/>
      <c r="AE797" s="111"/>
      <c r="AF797" s="111"/>
      <c r="AG797" s="111"/>
      <c r="AH797" s="111"/>
      <c r="AI797" s="111"/>
      <c r="AJ797" s="111"/>
      <c r="AK797" s="111"/>
      <c r="AL797" s="111"/>
    </row>
    <row r="798" spans="1:38" ht="13.5" customHeight="1">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c r="AD798" s="111"/>
      <c r="AE798" s="111"/>
      <c r="AF798" s="111"/>
      <c r="AG798" s="111"/>
      <c r="AH798" s="111"/>
      <c r="AI798" s="111"/>
      <c r="AJ798" s="111"/>
      <c r="AK798" s="111"/>
      <c r="AL798" s="111"/>
    </row>
    <row r="799" spans="1:38" ht="13.5" customHeight="1">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c r="AD799" s="111"/>
      <c r="AE799" s="111"/>
      <c r="AF799" s="111"/>
      <c r="AG799" s="111"/>
      <c r="AH799" s="111"/>
      <c r="AI799" s="111"/>
      <c r="AJ799" s="111"/>
      <c r="AK799" s="111"/>
      <c r="AL799" s="111"/>
    </row>
    <row r="800" spans="1:38" ht="13.5" customHeight="1">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c r="AD800" s="111"/>
      <c r="AE800" s="111"/>
      <c r="AF800" s="111"/>
      <c r="AG800" s="111"/>
      <c r="AH800" s="111"/>
      <c r="AI800" s="111"/>
      <c r="AJ800" s="111"/>
      <c r="AK800" s="111"/>
      <c r="AL800" s="111"/>
    </row>
    <row r="801" spans="1:38" ht="13.5" customHeight="1">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c r="AD801" s="111"/>
      <c r="AE801" s="111"/>
      <c r="AF801" s="111"/>
      <c r="AG801" s="111"/>
      <c r="AH801" s="111"/>
      <c r="AI801" s="111"/>
      <c r="AJ801" s="111"/>
      <c r="AK801" s="111"/>
      <c r="AL801" s="111"/>
    </row>
    <row r="802" spans="1:38" ht="13.5" customHeight="1">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c r="AD802" s="111"/>
      <c r="AE802" s="111"/>
      <c r="AF802" s="111"/>
      <c r="AG802" s="111"/>
      <c r="AH802" s="111"/>
      <c r="AI802" s="111"/>
      <c r="AJ802" s="111"/>
      <c r="AK802" s="111"/>
      <c r="AL802" s="111"/>
    </row>
    <row r="803" spans="1:38" ht="13.5" customHeight="1">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c r="AD803" s="111"/>
      <c r="AE803" s="111"/>
      <c r="AF803" s="111"/>
      <c r="AG803" s="111"/>
      <c r="AH803" s="111"/>
      <c r="AI803" s="111"/>
      <c r="AJ803" s="111"/>
      <c r="AK803" s="111"/>
      <c r="AL803" s="111"/>
    </row>
    <row r="804" spans="1:38" ht="13.5" customHeight="1">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c r="AD804" s="111"/>
      <c r="AE804" s="111"/>
      <c r="AF804" s="111"/>
      <c r="AG804" s="111"/>
      <c r="AH804" s="111"/>
      <c r="AI804" s="111"/>
      <c r="AJ804" s="111"/>
      <c r="AK804" s="111"/>
      <c r="AL804" s="111"/>
    </row>
    <row r="805" spans="1:38" ht="13.5" customHeight="1">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c r="AD805" s="111"/>
      <c r="AE805" s="111"/>
      <c r="AF805" s="111"/>
      <c r="AG805" s="111"/>
      <c r="AH805" s="111"/>
      <c r="AI805" s="111"/>
      <c r="AJ805" s="111"/>
      <c r="AK805" s="111"/>
      <c r="AL805" s="111"/>
    </row>
    <row r="806" spans="1:38" ht="13.5" customHeight="1">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c r="AD806" s="111"/>
      <c r="AE806" s="111"/>
      <c r="AF806" s="111"/>
      <c r="AG806" s="111"/>
      <c r="AH806" s="111"/>
      <c r="AI806" s="111"/>
      <c r="AJ806" s="111"/>
      <c r="AK806" s="111"/>
      <c r="AL806" s="111"/>
    </row>
    <row r="807" spans="1:38" ht="13.5" customHeight="1">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c r="AD807" s="111"/>
      <c r="AE807" s="111"/>
      <c r="AF807" s="111"/>
      <c r="AG807" s="111"/>
      <c r="AH807" s="111"/>
      <c r="AI807" s="111"/>
      <c r="AJ807" s="111"/>
      <c r="AK807" s="111"/>
      <c r="AL807" s="111"/>
    </row>
    <row r="808" spans="1:38" ht="13.5" customHeight="1">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c r="AD808" s="111"/>
      <c r="AE808" s="111"/>
      <c r="AF808" s="111"/>
      <c r="AG808" s="111"/>
      <c r="AH808" s="111"/>
      <c r="AI808" s="111"/>
      <c r="AJ808" s="111"/>
      <c r="AK808" s="111"/>
      <c r="AL808" s="111"/>
    </row>
    <row r="809" spans="1:38" ht="13.5" customHeight="1">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c r="AD809" s="111"/>
      <c r="AE809" s="111"/>
      <c r="AF809" s="111"/>
      <c r="AG809" s="111"/>
      <c r="AH809" s="111"/>
      <c r="AI809" s="111"/>
      <c r="AJ809" s="111"/>
      <c r="AK809" s="111"/>
      <c r="AL809" s="111"/>
    </row>
    <row r="810" spans="1:38" ht="13.5" customHeight="1">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c r="AD810" s="111"/>
      <c r="AE810" s="111"/>
      <c r="AF810" s="111"/>
      <c r="AG810" s="111"/>
      <c r="AH810" s="111"/>
      <c r="AI810" s="111"/>
      <c r="AJ810" s="111"/>
      <c r="AK810" s="111"/>
      <c r="AL810" s="111"/>
    </row>
    <row r="811" spans="1:38" ht="13.5" customHeight="1">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c r="AD811" s="111"/>
      <c r="AE811" s="111"/>
      <c r="AF811" s="111"/>
      <c r="AG811" s="111"/>
      <c r="AH811" s="111"/>
      <c r="AI811" s="111"/>
      <c r="AJ811" s="111"/>
      <c r="AK811" s="111"/>
      <c r="AL811" s="111"/>
    </row>
    <row r="812" spans="1:38" ht="13.5" customHeight="1">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c r="AD812" s="111"/>
      <c r="AE812" s="111"/>
      <c r="AF812" s="111"/>
      <c r="AG812" s="111"/>
      <c r="AH812" s="111"/>
      <c r="AI812" s="111"/>
      <c r="AJ812" s="111"/>
      <c r="AK812" s="111"/>
      <c r="AL812" s="111"/>
    </row>
    <row r="813" spans="1:38" ht="13.5" customHeight="1">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c r="AD813" s="111"/>
      <c r="AE813" s="111"/>
      <c r="AF813" s="111"/>
      <c r="AG813" s="111"/>
      <c r="AH813" s="111"/>
      <c r="AI813" s="111"/>
      <c r="AJ813" s="111"/>
      <c r="AK813" s="111"/>
      <c r="AL813" s="111"/>
    </row>
    <row r="814" spans="1:38" ht="13.5" customHeight="1">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c r="AD814" s="111"/>
      <c r="AE814" s="111"/>
      <c r="AF814" s="111"/>
      <c r="AG814" s="111"/>
      <c r="AH814" s="111"/>
      <c r="AI814" s="111"/>
      <c r="AJ814" s="111"/>
      <c r="AK814" s="111"/>
      <c r="AL814" s="111"/>
    </row>
    <row r="815" spans="1:38" ht="13.5" customHeight="1">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c r="AD815" s="111"/>
      <c r="AE815" s="111"/>
      <c r="AF815" s="111"/>
      <c r="AG815" s="111"/>
      <c r="AH815" s="111"/>
      <c r="AI815" s="111"/>
      <c r="AJ815" s="111"/>
      <c r="AK815" s="111"/>
      <c r="AL815" s="111"/>
    </row>
    <row r="816" spans="1:38" ht="13.5" customHeight="1">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c r="AD816" s="111"/>
      <c r="AE816" s="111"/>
      <c r="AF816" s="111"/>
      <c r="AG816" s="111"/>
      <c r="AH816" s="111"/>
      <c r="AI816" s="111"/>
      <c r="AJ816" s="111"/>
      <c r="AK816" s="111"/>
      <c r="AL816" s="111"/>
    </row>
    <row r="817" spans="1:38" ht="13.5" customHeight="1">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c r="AD817" s="111"/>
      <c r="AE817" s="111"/>
      <c r="AF817" s="111"/>
      <c r="AG817" s="111"/>
      <c r="AH817" s="111"/>
      <c r="AI817" s="111"/>
      <c r="AJ817" s="111"/>
      <c r="AK817" s="111"/>
      <c r="AL817" s="111"/>
    </row>
    <row r="818" spans="1:38" ht="13.5" customHeight="1">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c r="AD818" s="111"/>
      <c r="AE818" s="111"/>
      <c r="AF818" s="111"/>
      <c r="AG818" s="111"/>
      <c r="AH818" s="111"/>
      <c r="AI818" s="111"/>
      <c r="AJ818" s="111"/>
      <c r="AK818" s="111"/>
      <c r="AL818" s="111"/>
    </row>
    <row r="819" spans="1:38" ht="13.5" customHeight="1">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c r="AD819" s="111"/>
      <c r="AE819" s="111"/>
      <c r="AF819" s="111"/>
      <c r="AG819" s="111"/>
      <c r="AH819" s="111"/>
      <c r="AI819" s="111"/>
      <c r="AJ819" s="111"/>
      <c r="AK819" s="111"/>
      <c r="AL819" s="111"/>
    </row>
    <row r="820" spans="1:38" ht="13.5" customHeight="1">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c r="AD820" s="111"/>
      <c r="AE820" s="111"/>
      <c r="AF820" s="111"/>
      <c r="AG820" s="111"/>
      <c r="AH820" s="111"/>
      <c r="AI820" s="111"/>
      <c r="AJ820" s="111"/>
      <c r="AK820" s="111"/>
      <c r="AL820" s="111"/>
    </row>
    <row r="821" spans="1:38" ht="13.5" customHeight="1">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c r="AD821" s="111"/>
      <c r="AE821" s="111"/>
      <c r="AF821" s="111"/>
      <c r="AG821" s="111"/>
      <c r="AH821" s="111"/>
      <c r="AI821" s="111"/>
      <c r="AJ821" s="111"/>
      <c r="AK821" s="111"/>
      <c r="AL821" s="111"/>
    </row>
    <row r="822" spans="1:38" ht="13.5" customHeight="1">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c r="AD822" s="111"/>
      <c r="AE822" s="111"/>
      <c r="AF822" s="111"/>
      <c r="AG822" s="111"/>
      <c r="AH822" s="111"/>
      <c r="AI822" s="111"/>
      <c r="AJ822" s="111"/>
      <c r="AK822" s="111"/>
      <c r="AL822" s="111"/>
    </row>
    <row r="823" spans="1:38" ht="13.5" customHeight="1">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c r="AD823" s="111"/>
      <c r="AE823" s="111"/>
      <c r="AF823" s="111"/>
      <c r="AG823" s="111"/>
      <c r="AH823" s="111"/>
      <c r="AI823" s="111"/>
      <c r="AJ823" s="111"/>
      <c r="AK823" s="111"/>
      <c r="AL823" s="111"/>
    </row>
    <row r="824" spans="1:38" ht="13.5" customHeight="1">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c r="AD824" s="111"/>
      <c r="AE824" s="111"/>
      <c r="AF824" s="111"/>
      <c r="AG824" s="111"/>
      <c r="AH824" s="111"/>
      <c r="AI824" s="111"/>
      <c r="AJ824" s="111"/>
      <c r="AK824" s="111"/>
      <c r="AL824" s="111"/>
    </row>
    <row r="825" spans="1:38" ht="13.5" customHeight="1">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c r="AD825" s="111"/>
      <c r="AE825" s="111"/>
      <c r="AF825" s="111"/>
      <c r="AG825" s="111"/>
      <c r="AH825" s="111"/>
      <c r="AI825" s="111"/>
      <c r="AJ825" s="111"/>
      <c r="AK825" s="111"/>
      <c r="AL825" s="111"/>
    </row>
    <row r="826" spans="1:38" ht="13.5" customHeight="1">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c r="AC826" s="111"/>
      <c r="AD826" s="111"/>
      <c r="AE826" s="111"/>
      <c r="AF826" s="111"/>
      <c r="AG826" s="111"/>
      <c r="AH826" s="111"/>
      <c r="AI826" s="111"/>
      <c r="AJ826" s="111"/>
      <c r="AK826" s="111"/>
      <c r="AL826" s="111"/>
    </row>
    <row r="827" spans="1:38" ht="13.5" customHeight="1">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c r="AC827" s="111"/>
      <c r="AD827" s="111"/>
      <c r="AE827" s="111"/>
      <c r="AF827" s="111"/>
      <c r="AG827" s="111"/>
      <c r="AH827" s="111"/>
      <c r="AI827" s="111"/>
      <c r="AJ827" s="111"/>
      <c r="AK827" s="111"/>
      <c r="AL827" s="111"/>
    </row>
    <row r="828" spans="1:38" ht="13.5" customHeight="1">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c r="AC828" s="111"/>
      <c r="AD828" s="111"/>
      <c r="AE828" s="111"/>
      <c r="AF828" s="111"/>
      <c r="AG828" s="111"/>
      <c r="AH828" s="111"/>
      <c r="AI828" s="111"/>
      <c r="AJ828" s="111"/>
      <c r="AK828" s="111"/>
      <c r="AL828" s="111"/>
    </row>
    <row r="829" spans="1:38" ht="13.5" customHeight="1">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c r="AD829" s="111"/>
      <c r="AE829" s="111"/>
      <c r="AF829" s="111"/>
      <c r="AG829" s="111"/>
      <c r="AH829" s="111"/>
      <c r="AI829" s="111"/>
      <c r="AJ829" s="111"/>
      <c r="AK829" s="111"/>
      <c r="AL829" s="111"/>
    </row>
    <row r="830" spans="1:38" ht="13.5" customHeight="1">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c r="AD830" s="111"/>
      <c r="AE830" s="111"/>
      <c r="AF830" s="111"/>
      <c r="AG830" s="111"/>
      <c r="AH830" s="111"/>
      <c r="AI830" s="111"/>
      <c r="AJ830" s="111"/>
      <c r="AK830" s="111"/>
      <c r="AL830" s="111"/>
    </row>
    <row r="831" spans="1:38" ht="13.5" customHeight="1">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c r="AD831" s="111"/>
      <c r="AE831" s="111"/>
      <c r="AF831" s="111"/>
      <c r="AG831" s="111"/>
      <c r="AH831" s="111"/>
      <c r="AI831" s="111"/>
      <c r="AJ831" s="111"/>
      <c r="AK831" s="111"/>
      <c r="AL831" s="111"/>
    </row>
    <row r="832" spans="1:38" ht="13.5" customHeight="1">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c r="AD832" s="111"/>
      <c r="AE832" s="111"/>
      <c r="AF832" s="111"/>
      <c r="AG832" s="111"/>
      <c r="AH832" s="111"/>
      <c r="AI832" s="111"/>
      <c r="AJ832" s="111"/>
      <c r="AK832" s="111"/>
      <c r="AL832" s="111"/>
    </row>
    <row r="833" spans="1:38" ht="13.5" customHeight="1">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c r="AD833" s="111"/>
      <c r="AE833" s="111"/>
      <c r="AF833" s="111"/>
      <c r="AG833" s="111"/>
      <c r="AH833" s="111"/>
      <c r="AI833" s="111"/>
      <c r="AJ833" s="111"/>
      <c r="AK833" s="111"/>
      <c r="AL833" s="111"/>
    </row>
    <row r="834" spans="1:38" ht="13.5" customHeight="1">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c r="AD834" s="111"/>
      <c r="AE834" s="111"/>
      <c r="AF834" s="111"/>
      <c r="AG834" s="111"/>
      <c r="AH834" s="111"/>
      <c r="AI834" s="111"/>
      <c r="AJ834" s="111"/>
      <c r="AK834" s="111"/>
      <c r="AL834" s="111"/>
    </row>
    <row r="835" spans="1:38" ht="13.5" customHeight="1">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c r="AD835" s="111"/>
      <c r="AE835" s="111"/>
      <c r="AF835" s="111"/>
      <c r="AG835" s="111"/>
      <c r="AH835" s="111"/>
      <c r="AI835" s="111"/>
      <c r="AJ835" s="111"/>
      <c r="AK835" s="111"/>
      <c r="AL835" s="111"/>
    </row>
    <row r="836" spans="1:38" ht="13.5" customHeight="1">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c r="AD836" s="111"/>
      <c r="AE836" s="111"/>
      <c r="AF836" s="111"/>
      <c r="AG836" s="111"/>
      <c r="AH836" s="111"/>
      <c r="AI836" s="111"/>
      <c r="AJ836" s="111"/>
      <c r="AK836" s="111"/>
      <c r="AL836" s="111"/>
    </row>
    <row r="837" spans="1:38" ht="13.5" customHeight="1">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c r="AD837" s="111"/>
      <c r="AE837" s="111"/>
      <c r="AF837" s="111"/>
      <c r="AG837" s="111"/>
      <c r="AH837" s="111"/>
      <c r="AI837" s="111"/>
      <c r="AJ837" s="111"/>
      <c r="AK837" s="111"/>
      <c r="AL837" s="111"/>
    </row>
    <row r="838" spans="1:38" ht="13.5" customHeight="1">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c r="AD838" s="111"/>
      <c r="AE838" s="111"/>
      <c r="AF838" s="111"/>
      <c r="AG838" s="111"/>
      <c r="AH838" s="111"/>
      <c r="AI838" s="111"/>
      <c r="AJ838" s="111"/>
      <c r="AK838" s="111"/>
      <c r="AL838" s="111"/>
    </row>
    <row r="839" spans="1:38" ht="13.5" customHeight="1">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c r="AD839" s="111"/>
      <c r="AE839" s="111"/>
      <c r="AF839" s="111"/>
      <c r="AG839" s="111"/>
      <c r="AH839" s="111"/>
      <c r="AI839" s="111"/>
      <c r="AJ839" s="111"/>
      <c r="AK839" s="111"/>
      <c r="AL839" s="111"/>
    </row>
    <row r="840" spans="1:38" ht="13.5" customHeight="1">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c r="AD840" s="111"/>
      <c r="AE840" s="111"/>
      <c r="AF840" s="111"/>
      <c r="AG840" s="111"/>
      <c r="AH840" s="111"/>
      <c r="AI840" s="111"/>
      <c r="AJ840" s="111"/>
      <c r="AK840" s="111"/>
      <c r="AL840" s="111"/>
    </row>
    <row r="841" spans="1:38" ht="13.5" customHeight="1">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c r="AD841" s="111"/>
      <c r="AE841" s="111"/>
      <c r="AF841" s="111"/>
      <c r="AG841" s="111"/>
      <c r="AH841" s="111"/>
      <c r="AI841" s="111"/>
      <c r="AJ841" s="111"/>
      <c r="AK841" s="111"/>
      <c r="AL841" s="111"/>
    </row>
    <row r="842" spans="1:38" ht="13.5" customHeight="1">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c r="AD842" s="111"/>
      <c r="AE842" s="111"/>
      <c r="AF842" s="111"/>
      <c r="AG842" s="111"/>
      <c r="AH842" s="111"/>
      <c r="AI842" s="111"/>
      <c r="AJ842" s="111"/>
      <c r="AK842" s="111"/>
      <c r="AL842" s="111"/>
    </row>
    <row r="843" spans="1:38" ht="13.5" customHeight="1">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c r="AD843" s="111"/>
      <c r="AE843" s="111"/>
      <c r="AF843" s="111"/>
      <c r="AG843" s="111"/>
      <c r="AH843" s="111"/>
      <c r="AI843" s="111"/>
      <c r="AJ843" s="111"/>
      <c r="AK843" s="111"/>
      <c r="AL843" s="111"/>
    </row>
    <row r="844" spans="1:38" ht="13.5" customHeight="1">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c r="AD844" s="111"/>
      <c r="AE844" s="111"/>
      <c r="AF844" s="111"/>
      <c r="AG844" s="111"/>
      <c r="AH844" s="111"/>
      <c r="AI844" s="111"/>
      <c r="AJ844" s="111"/>
      <c r="AK844" s="111"/>
      <c r="AL844" s="111"/>
    </row>
    <row r="845" spans="1:38" ht="13.5" customHeight="1">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c r="AD845" s="111"/>
      <c r="AE845" s="111"/>
      <c r="AF845" s="111"/>
      <c r="AG845" s="111"/>
      <c r="AH845" s="111"/>
      <c r="AI845" s="111"/>
      <c r="AJ845" s="111"/>
      <c r="AK845" s="111"/>
      <c r="AL845" s="111"/>
    </row>
    <row r="846" spans="1:38" ht="13.5" customHeight="1">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c r="AD846" s="111"/>
      <c r="AE846" s="111"/>
      <c r="AF846" s="111"/>
      <c r="AG846" s="111"/>
      <c r="AH846" s="111"/>
      <c r="AI846" s="111"/>
      <c r="AJ846" s="111"/>
      <c r="AK846" s="111"/>
      <c r="AL846" s="111"/>
    </row>
    <row r="847" spans="1:38" ht="13.5" customHeight="1">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c r="AD847" s="111"/>
      <c r="AE847" s="111"/>
      <c r="AF847" s="111"/>
      <c r="AG847" s="111"/>
      <c r="AH847" s="111"/>
      <c r="AI847" s="111"/>
      <c r="AJ847" s="111"/>
      <c r="AK847" s="111"/>
      <c r="AL847" s="111"/>
    </row>
    <row r="848" spans="1:38" ht="13.5" customHeight="1">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c r="AD848" s="111"/>
      <c r="AE848" s="111"/>
      <c r="AF848" s="111"/>
      <c r="AG848" s="111"/>
      <c r="AH848" s="111"/>
      <c r="AI848" s="111"/>
      <c r="AJ848" s="111"/>
      <c r="AK848" s="111"/>
      <c r="AL848" s="111"/>
    </row>
    <row r="849" spans="1:38" ht="13.5" customHeight="1">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c r="AD849" s="111"/>
      <c r="AE849" s="111"/>
      <c r="AF849" s="111"/>
      <c r="AG849" s="111"/>
      <c r="AH849" s="111"/>
      <c r="AI849" s="111"/>
      <c r="AJ849" s="111"/>
      <c r="AK849" s="111"/>
      <c r="AL849" s="111"/>
    </row>
    <row r="850" spans="1:38" ht="13.5" customHeight="1">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c r="AD850" s="111"/>
      <c r="AE850" s="111"/>
      <c r="AF850" s="111"/>
      <c r="AG850" s="111"/>
      <c r="AH850" s="111"/>
      <c r="AI850" s="111"/>
      <c r="AJ850" s="111"/>
      <c r="AK850" s="111"/>
      <c r="AL850" s="111"/>
    </row>
    <row r="851" spans="1:38" ht="13.5" customHeight="1">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c r="AD851" s="111"/>
      <c r="AE851" s="111"/>
      <c r="AF851" s="111"/>
      <c r="AG851" s="111"/>
      <c r="AH851" s="111"/>
      <c r="AI851" s="111"/>
      <c r="AJ851" s="111"/>
      <c r="AK851" s="111"/>
      <c r="AL851" s="111"/>
    </row>
    <row r="852" spans="1:38" ht="13.5" customHeight="1">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c r="AD852" s="111"/>
      <c r="AE852" s="111"/>
      <c r="AF852" s="111"/>
      <c r="AG852" s="111"/>
      <c r="AH852" s="111"/>
      <c r="AI852" s="111"/>
      <c r="AJ852" s="111"/>
      <c r="AK852" s="111"/>
      <c r="AL852" s="111"/>
    </row>
    <row r="853" spans="1:38" ht="13.5" customHeight="1">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c r="AD853" s="111"/>
      <c r="AE853" s="111"/>
      <c r="AF853" s="111"/>
      <c r="AG853" s="111"/>
      <c r="AH853" s="111"/>
      <c r="AI853" s="111"/>
      <c r="AJ853" s="111"/>
      <c r="AK853" s="111"/>
      <c r="AL853" s="111"/>
    </row>
    <row r="854" spans="1:38" ht="13.5" customHeight="1">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c r="AD854" s="111"/>
      <c r="AE854" s="111"/>
      <c r="AF854" s="111"/>
      <c r="AG854" s="111"/>
      <c r="AH854" s="111"/>
      <c r="AI854" s="111"/>
      <c r="AJ854" s="111"/>
      <c r="AK854" s="111"/>
      <c r="AL854" s="111"/>
    </row>
    <row r="855" spans="1:38" ht="13.5" customHeight="1">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c r="AD855" s="111"/>
      <c r="AE855" s="111"/>
      <c r="AF855" s="111"/>
      <c r="AG855" s="111"/>
      <c r="AH855" s="111"/>
      <c r="AI855" s="111"/>
      <c r="AJ855" s="111"/>
      <c r="AK855" s="111"/>
      <c r="AL855" s="111"/>
    </row>
    <row r="856" spans="1:38" ht="13.5" customHeight="1">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c r="AD856" s="111"/>
      <c r="AE856" s="111"/>
      <c r="AF856" s="111"/>
      <c r="AG856" s="111"/>
      <c r="AH856" s="111"/>
      <c r="AI856" s="111"/>
      <c r="AJ856" s="111"/>
      <c r="AK856" s="111"/>
      <c r="AL856" s="111"/>
    </row>
    <row r="857" spans="1:38" ht="13.5" customHeight="1">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c r="AD857" s="111"/>
      <c r="AE857" s="111"/>
      <c r="AF857" s="111"/>
      <c r="AG857" s="111"/>
      <c r="AH857" s="111"/>
      <c r="AI857" s="111"/>
      <c r="AJ857" s="111"/>
      <c r="AK857" s="111"/>
      <c r="AL857" s="111"/>
    </row>
    <row r="858" spans="1:38" ht="13.5" customHeight="1">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c r="AD858" s="111"/>
      <c r="AE858" s="111"/>
      <c r="AF858" s="111"/>
      <c r="AG858" s="111"/>
      <c r="AH858" s="111"/>
      <c r="AI858" s="111"/>
      <c r="AJ858" s="111"/>
      <c r="AK858" s="111"/>
      <c r="AL858" s="111"/>
    </row>
    <row r="859" spans="1:38" ht="13.5" customHeight="1">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c r="AC859" s="111"/>
      <c r="AD859" s="111"/>
      <c r="AE859" s="111"/>
      <c r="AF859" s="111"/>
      <c r="AG859" s="111"/>
      <c r="AH859" s="111"/>
      <c r="AI859" s="111"/>
      <c r="AJ859" s="111"/>
      <c r="AK859" s="111"/>
      <c r="AL859" s="111"/>
    </row>
    <row r="860" spans="1:38" ht="13.5" customHeight="1">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c r="AC860" s="111"/>
      <c r="AD860" s="111"/>
      <c r="AE860" s="111"/>
      <c r="AF860" s="111"/>
      <c r="AG860" s="111"/>
      <c r="AH860" s="111"/>
      <c r="AI860" s="111"/>
      <c r="AJ860" s="111"/>
      <c r="AK860" s="111"/>
      <c r="AL860" s="111"/>
    </row>
    <row r="861" spans="1:38" ht="13.5" customHeight="1">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c r="AC861" s="111"/>
      <c r="AD861" s="111"/>
      <c r="AE861" s="111"/>
      <c r="AF861" s="111"/>
      <c r="AG861" s="111"/>
      <c r="AH861" s="111"/>
      <c r="AI861" s="111"/>
      <c r="AJ861" s="111"/>
      <c r="AK861" s="111"/>
      <c r="AL861" s="111"/>
    </row>
    <row r="862" spans="1:38" ht="13.5" customHeight="1">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c r="AD862" s="111"/>
      <c r="AE862" s="111"/>
      <c r="AF862" s="111"/>
      <c r="AG862" s="111"/>
      <c r="AH862" s="111"/>
      <c r="AI862" s="111"/>
      <c r="AJ862" s="111"/>
      <c r="AK862" s="111"/>
      <c r="AL862" s="111"/>
    </row>
    <row r="863" spans="1:38" ht="13.5" customHeight="1">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c r="AD863" s="111"/>
      <c r="AE863" s="111"/>
      <c r="AF863" s="111"/>
      <c r="AG863" s="111"/>
      <c r="AH863" s="111"/>
      <c r="AI863" s="111"/>
      <c r="AJ863" s="111"/>
      <c r="AK863" s="111"/>
      <c r="AL863" s="111"/>
    </row>
    <row r="864" spans="1:38" ht="13.5" customHeight="1">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c r="AD864" s="111"/>
      <c r="AE864" s="111"/>
      <c r="AF864" s="111"/>
      <c r="AG864" s="111"/>
      <c r="AH864" s="111"/>
      <c r="AI864" s="111"/>
      <c r="AJ864" s="111"/>
      <c r="AK864" s="111"/>
      <c r="AL864" s="111"/>
    </row>
    <row r="865" spans="1:38" ht="13.5" customHeight="1">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c r="AD865" s="111"/>
      <c r="AE865" s="111"/>
      <c r="AF865" s="111"/>
      <c r="AG865" s="111"/>
      <c r="AH865" s="111"/>
      <c r="AI865" s="111"/>
      <c r="AJ865" s="111"/>
      <c r="AK865" s="111"/>
      <c r="AL865" s="111"/>
    </row>
    <row r="866" spans="1:38" ht="13.5" customHeight="1">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c r="AD866" s="111"/>
      <c r="AE866" s="111"/>
      <c r="AF866" s="111"/>
      <c r="AG866" s="111"/>
      <c r="AH866" s="111"/>
      <c r="AI866" s="111"/>
      <c r="AJ866" s="111"/>
      <c r="AK866" s="111"/>
      <c r="AL866" s="111"/>
    </row>
    <row r="867" spans="1:38" ht="13.5" customHeight="1">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c r="AD867" s="111"/>
      <c r="AE867" s="111"/>
      <c r="AF867" s="111"/>
      <c r="AG867" s="111"/>
      <c r="AH867" s="111"/>
      <c r="AI867" s="111"/>
      <c r="AJ867" s="111"/>
      <c r="AK867" s="111"/>
      <c r="AL867" s="111"/>
    </row>
    <row r="868" spans="1:38" ht="13.5" customHeight="1">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c r="AD868" s="111"/>
      <c r="AE868" s="111"/>
      <c r="AF868" s="111"/>
      <c r="AG868" s="111"/>
      <c r="AH868" s="111"/>
      <c r="AI868" s="111"/>
      <c r="AJ868" s="111"/>
      <c r="AK868" s="111"/>
      <c r="AL868" s="111"/>
    </row>
    <row r="869" spans="1:38" ht="13.5" customHeight="1">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c r="AD869" s="111"/>
      <c r="AE869" s="111"/>
      <c r="AF869" s="111"/>
      <c r="AG869" s="111"/>
      <c r="AH869" s="111"/>
      <c r="AI869" s="111"/>
      <c r="AJ869" s="111"/>
      <c r="AK869" s="111"/>
      <c r="AL869" s="111"/>
    </row>
    <row r="870" spans="1:38" ht="13.5" customHeight="1">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c r="AD870" s="111"/>
      <c r="AE870" s="111"/>
      <c r="AF870" s="111"/>
      <c r="AG870" s="111"/>
      <c r="AH870" s="111"/>
      <c r="AI870" s="111"/>
      <c r="AJ870" s="111"/>
      <c r="AK870" s="111"/>
      <c r="AL870" s="111"/>
    </row>
    <row r="871" spans="1:38" ht="13.5" customHeight="1">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c r="AD871" s="111"/>
      <c r="AE871" s="111"/>
      <c r="AF871" s="111"/>
      <c r="AG871" s="111"/>
      <c r="AH871" s="111"/>
      <c r="AI871" s="111"/>
      <c r="AJ871" s="111"/>
      <c r="AK871" s="111"/>
      <c r="AL871" s="111"/>
    </row>
    <row r="872" spans="1:38" ht="13.5" customHeight="1">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c r="AD872" s="111"/>
      <c r="AE872" s="111"/>
      <c r="AF872" s="111"/>
      <c r="AG872" s="111"/>
      <c r="AH872" s="111"/>
      <c r="AI872" s="111"/>
      <c r="AJ872" s="111"/>
      <c r="AK872" s="111"/>
      <c r="AL872" s="111"/>
    </row>
    <row r="873" spans="1:38" ht="13.5" customHeight="1">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c r="AD873" s="111"/>
      <c r="AE873" s="111"/>
      <c r="AF873" s="111"/>
      <c r="AG873" s="111"/>
      <c r="AH873" s="111"/>
      <c r="AI873" s="111"/>
      <c r="AJ873" s="111"/>
      <c r="AK873" s="111"/>
      <c r="AL873" s="111"/>
    </row>
    <row r="874" spans="1:38" ht="13.5" customHeight="1">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c r="AD874" s="111"/>
      <c r="AE874" s="111"/>
      <c r="AF874" s="111"/>
      <c r="AG874" s="111"/>
      <c r="AH874" s="111"/>
      <c r="AI874" s="111"/>
      <c r="AJ874" s="111"/>
      <c r="AK874" s="111"/>
      <c r="AL874" s="111"/>
    </row>
    <row r="875" spans="1:38" ht="13.5" customHeight="1">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c r="AD875" s="111"/>
      <c r="AE875" s="111"/>
      <c r="AF875" s="111"/>
      <c r="AG875" s="111"/>
      <c r="AH875" s="111"/>
      <c r="AI875" s="111"/>
      <c r="AJ875" s="111"/>
      <c r="AK875" s="111"/>
      <c r="AL875" s="111"/>
    </row>
    <row r="876" spans="1:38" ht="13.5" customHeight="1">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c r="AD876" s="111"/>
      <c r="AE876" s="111"/>
      <c r="AF876" s="111"/>
      <c r="AG876" s="111"/>
      <c r="AH876" s="111"/>
      <c r="AI876" s="111"/>
      <c r="AJ876" s="111"/>
      <c r="AK876" s="111"/>
      <c r="AL876" s="111"/>
    </row>
    <row r="877" spans="1:38" ht="13.5" customHeight="1">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c r="AD877" s="111"/>
      <c r="AE877" s="111"/>
      <c r="AF877" s="111"/>
      <c r="AG877" s="111"/>
      <c r="AH877" s="111"/>
      <c r="AI877" s="111"/>
      <c r="AJ877" s="111"/>
      <c r="AK877" s="111"/>
      <c r="AL877" s="111"/>
    </row>
    <row r="878" spans="1:38" ht="13.5" customHeight="1">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c r="AD878" s="111"/>
      <c r="AE878" s="111"/>
      <c r="AF878" s="111"/>
      <c r="AG878" s="111"/>
      <c r="AH878" s="111"/>
      <c r="AI878" s="111"/>
      <c r="AJ878" s="111"/>
      <c r="AK878" s="111"/>
      <c r="AL878" s="111"/>
    </row>
    <row r="879" spans="1:38" ht="13.5" customHeight="1">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c r="AD879" s="111"/>
      <c r="AE879" s="111"/>
      <c r="AF879" s="111"/>
      <c r="AG879" s="111"/>
      <c r="AH879" s="111"/>
      <c r="AI879" s="111"/>
      <c r="AJ879" s="111"/>
      <c r="AK879" s="111"/>
      <c r="AL879" s="111"/>
    </row>
    <row r="880" spans="1:38" ht="13.5" customHeight="1">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c r="AD880" s="111"/>
      <c r="AE880" s="111"/>
      <c r="AF880" s="111"/>
      <c r="AG880" s="111"/>
      <c r="AH880" s="111"/>
      <c r="AI880" s="111"/>
      <c r="AJ880" s="111"/>
      <c r="AK880" s="111"/>
      <c r="AL880" s="111"/>
    </row>
    <row r="881" spans="1:38" ht="13.5" customHeight="1">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c r="AD881" s="111"/>
      <c r="AE881" s="111"/>
      <c r="AF881" s="111"/>
      <c r="AG881" s="111"/>
      <c r="AH881" s="111"/>
      <c r="AI881" s="111"/>
      <c r="AJ881" s="111"/>
      <c r="AK881" s="111"/>
      <c r="AL881" s="111"/>
    </row>
    <row r="882" spans="1:38" ht="13.5" customHeight="1">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c r="AD882" s="111"/>
      <c r="AE882" s="111"/>
      <c r="AF882" s="111"/>
      <c r="AG882" s="111"/>
      <c r="AH882" s="111"/>
      <c r="AI882" s="111"/>
      <c r="AJ882" s="111"/>
      <c r="AK882" s="111"/>
      <c r="AL882" s="111"/>
    </row>
    <row r="883" spans="1:38" ht="13.5" customHeight="1">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c r="AD883" s="111"/>
      <c r="AE883" s="111"/>
      <c r="AF883" s="111"/>
      <c r="AG883" s="111"/>
      <c r="AH883" s="111"/>
      <c r="AI883" s="111"/>
      <c r="AJ883" s="111"/>
      <c r="AK883" s="111"/>
      <c r="AL883" s="111"/>
    </row>
    <row r="884" spans="1:38" ht="13.5" customHeight="1">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c r="AD884" s="111"/>
      <c r="AE884" s="111"/>
      <c r="AF884" s="111"/>
      <c r="AG884" s="111"/>
      <c r="AH884" s="111"/>
      <c r="AI884" s="111"/>
      <c r="AJ884" s="111"/>
      <c r="AK884" s="111"/>
      <c r="AL884" s="111"/>
    </row>
    <row r="885" spans="1:38" ht="13.5" customHeight="1">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c r="AD885" s="111"/>
      <c r="AE885" s="111"/>
      <c r="AF885" s="111"/>
      <c r="AG885" s="111"/>
      <c r="AH885" s="111"/>
      <c r="AI885" s="111"/>
      <c r="AJ885" s="111"/>
      <c r="AK885" s="111"/>
      <c r="AL885" s="111"/>
    </row>
    <row r="886" spans="1:38" ht="13.5" customHeight="1">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c r="AD886" s="111"/>
      <c r="AE886" s="111"/>
      <c r="AF886" s="111"/>
      <c r="AG886" s="111"/>
      <c r="AH886" s="111"/>
      <c r="AI886" s="111"/>
      <c r="AJ886" s="111"/>
      <c r="AK886" s="111"/>
      <c r="AL886" s="111"/>
    </row>
    <row r="887" spans="1:38" ht="13.5" customHeight="1">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c r="AD887" s="111"/>
      <c r="AE887" s="111"/>
      <c r="AF887" s="111"/>
      <c r="AG887" s="111"/>
      <c r="AH887" s="111"/>
      <c r="AI887" s="111"/>
      <c r="AJ887" s="111"/>
      <c r="AK887" s="111"/>
      <c r="AL887" s="111"/>
    </row>
    <row r="888" spans="1:38" ht="13.5" customHeight="1">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c r="AD888" s="111"/>
      <c r="AE888" s="111"/>
      <c r="AF888" s="111"/>
      <c r="AG888" s="111"/>
      <c r="AH888" s="111"/>
      <c r="AI888" s="111"/>
      <c r="AJ888" s="111"/>
      <c r="AK888" s="111"/>
      <c r="AL888" s="111"/>
    </row>
    <row r="889" spans="1:38" ht="13.5" customHeight="1">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c r="AD889" s="111"/>
      <c r="AE889" s="111"/>
      <c r="AF889" s="111"/>
      <c r="AG889" s="111"/>
      <c r="AH889" s="111"/>
      <c r="AI889" s="111"/>
      <c r="AJ889" s="111"/>
      <c r="AK889" s="111"/>
      <c r="AL889" s="111"/>
    </row>
    <row r="890" spans="1:38" ht="13.5" customHeight="1">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c r="AD890" s="111"/>
      <c r="AE890" s="111"/>
      <c r="AF890" s="111"/>
      <c r="AG890" s="111"/>
      <c r="AH890" s="111"/>
      <c r="AI890" s="111"/>
      <c r="AJ890" s="111"/>
      <c r="AK890" s="111"/>
      <c r="AL890" s="111"/>
    </row>
    <row r="891" spans="1:38" ht="13.5" customHeight="1">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c r="AD891" s="111"/>
      <c r="AE891" s="111"/>
      <c r="AF891" s="111"/>
      <c r="AG891" s="111"/>
      <c r="AH891" s="111"/>
      <c r="AI891" s="111"/>
      <c r="AJ891" s="111"/>
      <c r="AK891" s="111"/>
      <c r="AL891" s="111"/>
    </row>
    <row r="892" spans="1:38" ht="13.5" customHeight="1">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c r="AD892" s="111"/>
      <c r="AE892" s="111"/>
      <c r="AF892" s="111"/>
      <c r="AG892" s="111"/>
      <c r="AH892" s="111"/>
      <c r="AI892" s="111"/>
      <c r="AJ892" s="111"/>
      <c r="AK892" s="111"/>
      <c r="AL892" s="111"/>
    </row>
    <row r="893" spans="1:38" ht="13.5" customHeight="1">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c r="AC893" s="111"/>
      <c r="AD893" s="111"/>
      <c r="AE893" s="111"/>
      <c r="AF893" s="111"/>
      <c r="AG893" s="111"/>
      <c r="AH893" s="111"/>
      <c r="AI893" s="111"/>
      <c r="AJ893" s="111"/>
      <c r="AK893" s="111"/>
      <c r="AL893" s="111"/>
    </row>
    <row r="894" spans="1:38" ht="13.5" customHeight="1">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c r="AC894" s="111"/>
      <c r="AD894" s="111"/>
      <c r="AE894" s="111"/>
      <c r="AF894" s="111"/>
      <c r="AG894" s="111"/>
      <c r="AH894" s="111"/>
      <c r="AI894" s="111"/>
      <c r="AJ894" s="111"/>
      <c r="AK894" s="111"/>
      <c r="AL894" s="111"/>
    </row>
    <row r="895" spans="1:38" ht="13.5" customHeight="1">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c r="AD895" s="111"/>
      <c r="AE895" s="111"/>
      <c r="AF895" s="111"/>
      <c r="AG895" s="111"/>
      <c r="AH895" s="111"/>
      <c r="AI895" s="111"/>
      <c r="AJ895" s="111"/>
      <c r="AK895" s="111"/>
      <c r="AL895" s="111"/>
    </row>
    <row r="896" spans="1:38" ht="13.5" customHeight="1">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c r="AD896" s="111"/>
      <c r="AE896" s="111"/>
      <c r="AF896" s="111"/>
      <c r="AG896" s="111"/>
      <c r="AH896" s="111"/>
      <c r="AI896" s="111"/>
      <c r="AJ896" s="111"/>
      <c r="AK896" s="111"/>
      <c r="AL896" s="111"/>
    </row>
    <row r="897" spans="1:38" ht="13.5" customHeight="1">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c r="AD897" s="111"/>
      <c r="AE897" s="111"/>
      <c r="AF897" s="111"/>
      <c r="AG897" s="111"/>
      <c r="AH897" s="111"/>
      <c r="AI897" s="111"/>
      <c r="AJ897" s="111"/>
      <c r="AK897" s="111"/>
      <c r="AL897" s="111"/>
    </row>
    <row r="898" spans="1:38" ht="13.5" customHeight="1">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c r="AD898" s="111"/>
      <c r="AE898" s="111"/>
      <c r="AF898" s="111"/>
      <c r="AG898" s="111"/>
      <c r="AH898" s="111"/>
      <c r="AI898" s="111"/>
      <c r="AJ898" s="111"/>
      <c r="AK898" s="111"/>
      <c r="AL898" s="111"/>
    </row>
    <row r="899" spans="1:38" ht="13.5" customHeight="1">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c r="AD899" s="111"/>
      <c r="AE899" s="111"/>
      <c r="AF899" s="111"/>
      <c r="AG899" s="111"/>
      <c r="AH899" s="111"/>
      <c r="AI899" s="111"/>
      <c r="AJ899" s="111"/>
      <c r="AK899" s="111"/>
      <c r="AL899" s="111"/>
    </row>
    <row r="900" spans="1:38" ht="13.5" customHeight="1">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c r="AD900" s="111"/>
      <c r="AE900" s="111"/>
      <c r="AF900" s="111"/>
      <c r="AG900" s="111"/>
      <c r="AH900" s="111"/>
      <c r="AI900" s="111"/>
      <c r="AJ900" s="111"/>
      <c r="AK900" s="111"/>
      <c r="AL900" s="111"/>
    </row>
    <row r="901" spans="1:38" ht="13.5" customHeight="1">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c r="AD901" s="111"/>
      <c r="AE901" s="111"/>
      <c r="AF901" s="111"/>
      <c r="AG901" s="111"/>
      <c r="AH901" s="111"/>
      <c r="AI901" s="111"/>
      <c r="AJ901" s="111"/>
      <c r="AK901" s="111"/>
      <c r="AL901" s="111"/>
    </row>
    <row r="902" spans="1:38" ht="13.5" customHeight="1">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c r="AD902" s="111"/>
      <c r="AE902" s="111"/>
      <c r="AF902" s="111"/>
      <c r="AG902" s="111"/>
      <c r="AH902" s="111"/>
      <c r="AI902" s="111"/>
      <c r="AJ902" s="111"/>
      <c r="AK902" s="111"/>
      <c r="AL902" s="111"/>
    </row>
    <row r="903" spans="1:38" ht="13.5" customHeight="1">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c r="AD903" s="111"/>
      <c r="AE903" s="111"/>
      <c r="AF903" s="111"/>
      <c r="AG903" s="111"/>
      <c r="AH903" s="111"/>
      <c r="AI903" s="111"/>
      <c r="AJ903" s="111"/>
      <c r="AK903" s="111"/>
      <c r="AL903" s="111"/>
    </row>
    <row r="904" spans="1:38" ht="13.5" customHeight="1">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c r="AD904" s="111"/>
      <c r="AE904" s="111"/>
      <c r="AF904" s="111"/>
      <c r="AG904" s="111"/>
      <c r="AH904" s="111"/>
      <c r="AI904" s="111"/>
      <c r="AJ904" s="111"/>
      <c r="AK904" s="111"/>
      <c r="AL904" s="111"/>
    </row>
    <row r="905" spans="1:38" ht="13.5" customHeight="1">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c r="AD905" s="111"/>
      <c r="AE905" s="111"/>
      <c r="AF905" s="111"/>
      <c r="AG905" s="111"/>
      <c r="AH905" s="111"/>
      <c r="AI905" s="111"/>
      <c r="AJ905" s="111"/>
      <c r="AK905" s="111"/>
      <c r="AL905" s="111"/>
    </row>
    <row r="906" spans="1:38" ht="13.5" customHeight="1">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c r="AD906" s="111"/>
      <c r="AE906" s="111"/>
      <c r="AF906" s="111"/>
      <c r="AG906" s="111"/>
      <c r="AH906" s="111"/>
      <c r="AI906" s="111"/>
      <c r="AJ906" s="111"/>
      <c r="AK906" s="111"/>
      <c r="AL906" s="111"/>
    </row>
    <row r="907" spans="1:38" ht="13.5" customHeight="1">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c r="AD907" s="111"/>
      <c r="AE907" s="111"/>
      <c r="AF907" s="111"/>
      <c r="AG907" s="111"/>
      <c r="AH907" s="111"/>
      <c r="AI907" s="111"/>
      <c r="AJ907" s="111"/>
      <c r="AK907" s="111"/>
      <c r="AL907" s="111"/>
    </row>
    <row r="908" spans="1:38" ht="13.5" customHeight="1">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c r="AD908" s="111"/>
      <c r="AE908" s="111"/>
      <c r="AF908" s="111"/>
      <c r="AG908" s="111"/>
      <c r="AH908" s="111"/>
      <c r="AI908" s="111"/>
      <c r="AJ908" s="111"/>
      <c r="AK908" s="111"/>
      <c r="AL908" s="111"/>
    </row>
    <row r="909" spans="1:38" ht="13.5" customHeight="1">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c r="AD909" s="111"/>
      <c r="AE909" s="111"/>
      <c r="AF909" s="111"/>
      <c r="AG909" s="111"/>
      <c r="AH909" s="111"/>
      <c r="AI909" s="111"/>
      <c r="AJ909" s="111"/>
      <c r="AK909" s="111"/>
      <c r="AL909" s="111"/>
    </row>
    <row r="910" spans="1:38" ht="13.5" customHeight="1">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c r="AD910" s="111"/>
      <c r="AE910" s="111"/>
      <c r="AF910" s="111"/>
      <c r="AG910" s="111"/>
      <c r="AH910" s="111"/>
      <c r="AI910" s="111"/>
      <c r="AJ910" s="111"/>
      <c r="AK910" s="111"/>
      <c r="AL910" s="111"/>
    </row>
    <row r="911" spans="1:38" ht="13.5" customHeight="1">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c r="AD911" s="111"/>
      <c r="AE911" s="111"/>
      <c r="AF911" s="111"/>
      <c r="AG911" s="111"/>
      <c r="AH911" s="111"/>
      <c r="AI911" s="111"/>
      <c r="AJ911" s="111"/>
      <c r="AK911" s="111"/>
      <c r="AL911" s="111"/>
    </row>
    <row r="912" spans="1:38" ht="13.5" customHeight="1">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c r="AD912" s="111"/>
      <c r="AE912" s="111"/>
      <c r="AF912" s="111"/>
      <c r="AG912" s="111"/>
      <c r="AH912" s="111"/>
      <c r="AI912" s="111"/>
      <c r="AJ912" s="111"/>
      <c r="AK912" s="111"/>
      <c r="AL912" s="111"/>
    </row>
    <row r="913" spans="1:38" ht="13.5" customHeight="1">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c r="AD913" s="111"/>
      <c r="AE913" s="111"/>
      <c r="AF913" s="111"/>
      <c r="AG913" s="111"/>
      <c r="AH913" s="111"/>
      <c r="AI913" s="111"/>
      <c r="AJ913" s="111"/>
      <c r="AK913" s="111"/>
      <c r="AL913" s="111"/>
    </row>
    <row r="914" spans="1:38" ht="13.5" customHeight="1">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c r="AD914" s="111"/>
      <c r="AE914" s="111"/>
      <c r="AF914" s="111"/>
      <c r="AG914" s="111"/>
      <c r="AH914" s="111"/>
      <c r="AI914" s="111"/>
      <c r="AJ914" s="111"/>
      <c r="AK914" s="111"/>
      <c r="AL914" s="111"/>
    </row>
    <row r="915" spans="1:38" ht="13.5" customHeight="1">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c r="AD915" s="111"/>
      <c r="AE915" s="111"/>
      <c r="AF915" s="111"/>
      <c r="AG915" s="111"/>
      <c r="AH915" s="111"/>
      <c r="AI915" s="111"/>
      <c r="AJ915" s="111"/>
      <c r="AK915" s="111"/>
      <c r="AL915" s="111"/>
    </row>
    <row r="916" spans="1:38" ht="13.5" customHeight="1">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c r="AD916" s="111"/>
      <c r="AE916" s="111"/>
      <c r="AF916" s="111"/>
      <c r="AG916" s="111"/>
      <c r="AH916" s="111"/>
      <c r="AI916" s="111"/>
      <c r="AJ916" s="111"/>
      <c r="AK916" s="111"/>
      <c r="AL916" s="111"/>
    </row>
    <row r="917" spans="1:38" ht="13.5" customHeight="1">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c r="AD917" s="111"/>
      <c r="AE917" s="111"/>
      <c r="AF917" s="111"/>
      <c r="AG917" s="111"/>
      <c r="AH917" s="111"/>
      <c r="AI917" s="111"/>
      <c r="AJ917" s="111"/>
      <c r="AK917" s="111"/>
      <c r="AL917" s="111"/>
    </row>
    <row r="918" spans="1:38" ht="13.5" customHeight="1">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c r="AD918" s="111"/>
      <c r="AE918" s="111"/>
      <c r="AF918" s="111"/>
      <c r="AG918" s="111"/>
      <c r="AH918" s="111"/>
      <c r="AI918" s="111"/>
      <c r="AJ918" s="111"/>
      <c r="AK918" s="111"/>
      <c r="AL918" s="111"/>
    </row>
    <row r="919" spans="1:38" ht="13.5" customHeight="1">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c r="AD919" s="111"/>
      <c r="AE919" s="111"/>
      <c r="AF919" s="111"/>
      <c r="AG919" s="111"/>
      <c r="AH919" s="111"/>
      <c r="AI919" s="111"/>
      <c r="AJ919" s="111"/>
      <c r="AK919" s="111"/>
      <c r="AL919" s="111"/>
    </row>
    <row r="920" spans="1:38" ht="13.5" customHeight="1">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c r="AD920" s="111"/>
      <c r="AE920" s="111"/>
      <c r="AF920" s="111"/>
      <c r="AG920" s="111"/>
      <c r="AH920" s="111"/>
      <c r="AI920" s="111"/>
      <c r="AJ920" s="111"/>
      <c r="AK920" s="111"/>
      <c r="AL920" s="111"/>
    </row>
    <row r="921" spans="1:38" ht="13.5" customHeight="1">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c r="AD921" s="111"/>
      <c r="AE921" s="111"/>
      <c r="AF921" s="111"/>
      <c r="AG921" s="111"/>
      <c r="AH921" s="111"/>
      <c r="AI921" s="111"/>
      <c r="AJ921" s="111"/>
      <c r="AK921" s="111"/>
      <c r="AL921" s="111"/>
    </row>
    <row r="922" spans="1:38" ht="13.5" customHeight="1">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c r="AD922" s="111"/>
      <c r="AE922" s="111"/>
      <c r="AF922" s="111"/>
      <c r="AG922" s="111"/>
      <c r="AH922" s="111"/>
      <c r="AI922" s="111"/>
      <c r="AJ922" s="111"/>
      <c r="AK922" s="111"/>
      <c r="AL922" s="111"/>
    </row>
    <row r="923" spans="1:38" ht="13.5" customHeight="1">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c r="AD923" s="111"/>
      <c r="AE923" s="111"/>
      <c r="AF923" s="111"/>
      <c r="AG923" s="111"/>
      <c r="AH923" s="111"/>
      <c r="AI923" s="111"/>
      <c r="AJ923" s="111"/>
      <c r="AK923" s="111"/>
      <c r="AL923" s="111"/>
    </row>
    <row r="924" spans="1:38" ht="13.5" customHeight="1">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c r="AD924" s="111"/>
      <c r="AE924" s="111"/>
      <c r="AF924" s="111"/>
      <c r="AG924" s="111"/>
      <c r="AH924" s="111"/>
      <c r="AI924" s="111"/>
      <c r="AJ924" s="111"/>
      <c r="AK924" s="111"/>
      <c r="AL924" s="111"/>
    </row>
    <row r="925" spans="1:38" ht="13.5" customHeight="1">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c r="AC925" s="111"/>
      <c r="AD925" s="111"/>
      <c r="AE925" s="111"/>
      <c r="AF925" s="111"/>
      <c r="AG925" s="111"/>
      <c r="AH925" s="111"/>
      <c r="AI925" s="111"/>
      <c r="AJ925" s="111"/>
      <c r="AK925" s="111"/>
      <c r="AL925" s="111"/>
    </row>
    <row r="926" spans="1:38" ht="13.5" customHeight="1">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c r="AC926" s="111"/>
      <c r="AD926" s="111"/>
      <c r="AE926" s="111"/>
      <c r="AF926" s="111"/>
      <c r="AG926" s="111"/>
      <c r="AH926" s="111"/>
      <c r="AI926" s="111"/>
      <c r="AJ926" s="111"/>
      <c r="AK926" s="111"/>
      <c r="AL926" s="111"/>
    </row>
    <row r="927" spans="1:38" ht="13.5" customHeight="1">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c r="AC927" s="111"/>
      <c r="AD927" s="111"/>
      <c r="AE927" s="111"/>
      <c r="AF927" s="111"/>
      <c r="AG927" s="111"/>
      <c r="AH927" s="111"/>
      <c r="AI927" s="111"/>
      <c r="AJ927" s="111"/>
      <c r="AK927" s="111"/>
      <c r="AL927" s="111"/>
    </row>
    <row r="928" spans="1:38" ht="13.5" customHeight="1">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c r="AD928" s="111"/>
      <c r="AE928" s="111"/>
      <c r="AF928" s="111"/>
      <c r="AG928" s="111"/>
      <c r="AH928" s="111"/>
      <c r="AI928" s="111"/>
      <c r="AJ928" s="111"/>
      <c r="AK928" s="111"/>
      <c r="AL928" s="111"/>
    </row>
    <row r="929" spans="1:38" ht="13.5" customHeight="1">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c r="AD929" s="111"/>
      <c r="AE929" s="111"/>
      <c r="AF929" s="111"/>
      <c r="AG929" s="111"/>
      <c r="AH929" s="111"/>
      <c r="AI929" s="111"/>
      <c r="AJ929" s="111"/>
      <c r="AK929" s="111"/>
      <c r="AL929" s="111"/>
    </row>
    <row r="930" spans="1:38" ht="13.5" customHeight="1">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c r="AD930" s="111"/>
      <c r="AE930" s="111"/>
      <c r="AF930" s="111"/>
      <c r="AG930" s="111"/>
      <c r="AH930" s="111"/>
      <c r="AI930" s="111"/>
      <c r="AJ930" s="111"/>
      <c r="AK930" s="111"/>
      <c r="AL930" s="111"/>
    </row>
    <row r="931" spans="1:38" ht="13.5" customHeight="1">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c r="AD931" s="111"/>
      <c r="AE931" s="111"/>
      <c r="AF931" s="111"/>
      <c r="AG931" s="111"/>
      <c r="AH931" s="111"/>
      <c r="AI931" s="111"/>
      <c r="AJ931" s="111"/>
      <c r="AK931" s="111"/>
      <c r="AL931" s="111"/>
    </row>
    <row r="932" spans="1:38" ht="13.5" customHeight="1">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c r="AD932" s="111"/>
      <c r="AE932" s="111"/>
      <c r="AF932" s="111"/>
      <c r="AG932" s="111"/>
      <c r="AH932" s="111"/>
      <c r="AI932" s="111"/>
      <c r="AJ932" s="111"/>
      <c r="AK932" s="111"/>
      <c r="AL932" s="111"/>
    </row>
    <row r="933" spans="1:38" ht="13.5" customHeight="1">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c r="AD933" s="111"/>
      <c r="AE933" s="111"/>
      <c r="AF933" s="111"/>
      <c r="AG933" s="111"/>
      <c r="AH933" s="111"/>
      <c r="AI933" s="111"/>
      <c r="AJ933" s="111"/>
      <c r="AK933" s="111"/>
      <c r="AL933" s="111"/>
    </row>
    <row r="934" spans="1:38" ht="13.5" customHeight="1">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c r="AD934" s="111"/>
      <c r="AE934" s="111"/>
      <c r="AF934" s="111"/>
      <c r="AG934" s="111"/>
      <c r="AH934" s="111"/>
      <c r="AI934" s="111"/>
      <c r="AJ934" s="111"/>
      <c r="AK934" s="111"/>
      <c r="AL934" s="111"/>
    </row>
    <row r="935" spans="1:38" ht="13.5" customHeight="1">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c r="AD935" s="111"/>
      <c r="AE935" s="111"/>
      <c r="AF935" s="111"/>
      <c r="AG935" s="111"/>
      <c r="AH935" s="111"/>
      <c r="AI935" s="111"/>
      <c r="AJ935" s="111"/>
      <c r="AK935" s="111"/>
      <c r="AL935" s="111"/>
    </row>
    <row r="936" spans="1:38" ht="13.5" customHeight="1">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c r="AD936" s="111"/>
      <c r="AE936" s="111"/>
      <c r="AF936" s="111"/>
      <c r="AG936" s="111"/>
      <c r="AH936" s="111"/>
      <c r="AI936" s="111"/>
      <c r="AJ936" s="111"/>
      <c r="AK936" s="111"/>
      <c r="AL936" s="111"/>
    </row>
    <row r="937" spans="1:38" ht="13.5" customHeight="1">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c r="AD937" s="111"/>
      <c r="AE937" s="111"/>
      <c r="AF937" s="111"/>
      <c r="AG937" s="111"/>
      <c r="AH937" s="111"/>
      <c r="AI937" s="111"/>
      <c r="AJ937" s="111"/>
      <c r="AK937" s="111"/>
      <c r="AL937" s="111"/>
    </row>
    <row r="938" spans="1:38" ht="13.5" customHeight="1">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c r="AD938" s="111"/>
      <c r="AE938" s="111"/>
      <c r="AF938" s="111"/>
      <c r="AG938" s="111"/>
      <c r="AH938" s="111"/>
      <c r="AI938" s="111"/>
      <c r="AJ938" s="111"/>
      <c r="AK938" s="111"/>
      <c r="AL938" s="111"/>
    </row>
    <row r="939" spans="1:38" ht="13.5" customHeight="1">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c r="AD939" s="111"/>
      <c r="AE939" s="111"/>
      <c r="AF939" s="111"/>
      <c r="AG939" s="111"/>
      <c r="AH939" s="111"/>
      <c r="AI939" s="111"/>
      <c r="AJ939" s="111"/>
      <c r="AK939" s="111"/>
      <c r="AL939" s="111"/>
    </row>
    <row r="940" spans="1:38" ht="13.5" customHeight="1">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c r="AD940" s="111"/>
      <c r="AE940" s="111"/>
      <c r="AF940" s="111"/>
      <c r="AG940" s="111"/>
      <c r="AH940" s="111"/>
      <c r="AI940" s="111"/>
      <c r="AJ940" s="111"/>
      <c r="AK940" s="111"/>
      <c r="AL940" s="111"/>
    </row>
    <row r="941" spans="1:38" ht="13.5" customHeight="1">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c r="AD941" s="111"/>
      <c r="AE941" s="111"/>
      <c r="AF941" s="111"/>
      <c r="AG941" s="111"/>
      <c r="AH941" s="111"/>
      <c r="AI941" s="111"/>
      <c r="AJ941" s="111"/>
      <c r="AK941" s="111"/>
      <c r="AL941" s="111"/>
    </row>
    <row r="942" spans="1:38" ht="13.5" customHeight="1">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c r="AD942" s="111"/>
      <c r="AE942" s="111"/>
      <c r="AF942" s="111"/>
      <c r="AG942" s="111"/>
      <c r="AH942" s="111"/>
      <c r="AI942" s="111"/>
      <c r="AJ942" s="111"/>
      <c r="AK942" s="111"/>
      <c r="AL942" s="111"/>
    </row>
    <row r="943" spans="1:38" ht="13.5" customHeight="1">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c r="AD943" s="111"/>
      <c r="AE943" s="111"/>
      <c r="AF943" s="111"/>
      <c r="AG943" s="111"/>
      <c r="AH943" s="111"/>
      <c r="AI943" s="111"/>
      <c r="AJ943" s="111"/>
      <c r="AK943" s="111"/>
      <c r="AL943" s="111"/>
    </row>
    <row r="944" spans="1:38" ht="13.5" customHeight="1">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c r="AD944" s="111"/>
      <c r="AE944" s="111"/>
      <c r="AF944" s="111"/>
      <c r="AG944" s="111"/>
      <c r="AH944" s="111"/>
      <c r="AI944" s="111"/>
      <c r="AJ944" s="111"/>
      <c r="AK944" s="111"/>
      <c r="AL944" s="111"/>
    </row>
    <row r="945" spans="1:38" ht="13.5" customHeight="1">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c r="AD945" s="111"/>
      <c r="AE945" s="111"/>
      <c r="AF945" s="111"/>
      <c r="AG945" s="111"/>
      <c r="AH945" s="111"/>
      <c r="AI945" s="111"/>
      <c r="AJ945" s="111"/>
      <c r="AK945" s="111"/>
      <c r="AL945" s="111"/>
    </row>
    <row r="946" spans="1:38" ht="13.5" customHeight="1">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c r="AD946" s="111"/>
      <c r="AE946" s="111"/>
      <c r="AF946" s="111"/>
      <c r="AG946" s="111"/>
      <c r="AH946" s="111"/>
      <c r="AI946" s="111"/>
      <c r="AJ946" s="111"/>
      <c r="AK946" s="111"/>
      <c r="AL946" s="111"/>
    </row>
    <row r="947" spans="1:38" ht="13.5" customHeight="1">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c r="AD947" s="111"/>
      <c r="AE947" s="111"/>
      <c r="AF947" s="111"/>
      <c r="AG947" s="111"/>
      <c r="AH947" s="111"/>
      <c r="AI947" s="111"/>
      <c r="AJ947" s="111"/>
      <c r="AK947" s="111"/>
      <c r="AL947" s="111"/>
    </row>
    <row r="948" spans="1:38" ht="13.5" customHeight="1">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c r="AD948" s="111"/>
      <c r="AE948" s="111"/>
      <c r="AF948" s="111"/>
      <c r="AG948" s="111"/>
      <c r="AH948" s="111"/>
      <c r="AI948" s="111"/>
      <c r="AJ948" s="111"/>
      <c r="AK948" s="111"/>
      <c r="AL948" s="111"/>
    </row>
    <row r="949" spans="1:38" ht="13.5" customHeight="1">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c r="AD949" s="111"/>
      <c r="AE949" s="111"/>
      <c r="AF949" s="111"/>
      <c r="AG949" s="111"/>
      <c r="AH949" s="111"/>
      <c r="AI949" s="111"/>
      <c r="AJ949" s="111"/>
      <c r="AK949" s="111"/>
      <c r="AL949" s="111"/>
    </row>
    <row r="950" spans="1:38" ht="13.5" customHeight="1">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c r="AD950" s="111"/>
      <c r="AE950" s="111"/>
      <c r="AF950" s="111"/>
      <c r="AG950" s="111"/>
      <c r="AH950" s="111"/>
      <c r="AI950" s="111"/>
      <c r="AJ950" s="111"/>
      <c r="AK950" s="111"/>
      <c r="AL950" s="111"/>
    </row>
    <row r="951" spans="1:38" ht="13.5" customHeight="1">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c r="AD951" s="111"/>
      <c r="AE951" s="111"/>
      <c r="AF951" s="111"/>
      <c r="AG951" s="111"/>
      <c r="AH951" s="111"/>
      <c r="AI951" s="111"/>
      <c r="AJ951" s="111"/>
      <c r="AK951" s="111"/>
      <c r="AL951" s="111"/>
    </row>
    <row r="952" spans="1:38" ht="13.5" customHeight="1">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c r="AD952" s="111"/>
      <c r="AE952" s="111"/>
      <c r="AF952" s="111"/>
      <c r="AG952" s="111"/>
      <c r="AH952" s="111"/>
      <c r="AI952" s="111"/>
      <c r="AJ952" s="111"/>
      <c r="AK952" s="111"/>
      <c r="AL952" s="111"/>
    </row>
    <row r="953" spans="1:38" ht="13.5" customHeight="1">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c r="AD953" s="111"/>
      <c r="AE953" s="111"/>
      <c r="AF953" s="111"/>
      <c r="AG953" s="111"/>
      <c r="AH953" s="111"/>
      <c r="AI953" s="111"/>
      <c r="AJ953" s="111"/>
      <c r="AK953" s="111"/>
      <c r="AL953" s="111"/>
    </row>
    <row r="954" spans="1:38" ht="13.5" customHeight="1">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c r="AD954" s="111"/>
      <c r="AE954" s="111"/>
      <c r="AF954" s="111"/>
      <c r="AG954" s="111"/>
      <c r="AH954" s="111"/>
      <c r="AI954" s="111"/>
      <c r="AJ954" s="111"/>
      <c r="AK954" s="111"/>
      <c r="AL954" s="111"/>
    </row>
    <row r="955" spans="1:38" ht="13.5" customHeight="1">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c r="AD955" s="111"/>
      <c r="AE955" s="111"/>
      <c r="AF955" s="111"/>
      <c r="AG955" s="111"/>
      <c r="AH955" s="111"/>
      <c r="AI955" s="111"/>
      <c r="AJ955" s="111"/>
      <c r="AK955" s="111"/>
      <c r="AL955" s="111"/>
    </row>
    <row r="956" spans="1:38" ht="13.5" customHeight="1">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c r="AD956" s="111"/>
      <c r="AE956" s="111"/>
      <c r="AF956" s="111"/>
      <c r="AG956" s="111"/>
      <c r="AH956" s="111"/>
      <c r="AI956" s="111"/>
      <c r="AJ956" s="111"/>
      <c r="AK956" s="111"/>
      <c r="AL956" s="111"/>
    </row>
    <row r="957" spans="1:38" ht="13.5" customHeight="1">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c r="AD957" s="111"/>
      <c r="AE957" s="111"/>
      <c r="AF957" s="111"/>
      <c r="AG957" s="111"/>
      <c r="AH957" s="111"/>
      <c r="AI957" s="111"/>
      <c r="AJ957" s="111"/>
      <c r="AK957" s="111"/>
      <c r="AL957" s="111"/>
    </row>
    <row r="958" spans="1:38" ht="13.5" customHeight="1">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c r="AD958" s="111"/>
      <c r="AE958" s="111"/>
      <c r="AF958" s="111"/>
      <c r="AG958" s="111"/>
      <c r="AH958" s="111"/>
      <c r="AI958" s="111"/>
      <c r="AJ958" s="111"/>
      <c r="AK958" s="111"/>
      <c r="AL958" s="111"/>
    </row>
    <row r="959" spans="1:38" ht="13.5" customHeight="1">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c r="AD959" s="111"/>
      <c r="AE959" s="111"/>
      <c r="AF959" s="111"/>
      <c r="AG959" s="111"/>
      <c r="AH959" s="111"/>
      <c r="AI959" s="111"/>
      <c r="AJ959" s="111"/>
      <c r="AK959" s="111"/>
      <c r="AL959" s="111"/>
    </row>
    <row r="960" spans="1:38" ht="13.5" customHeight="1">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c r="AD960" s="111"/>
      <c r="AE960" s="111"/>
      <c r="AF960" s="111"/>
      <c r="AG960" s="111"/>
      <c r="AH960" s="111"/>
      <c r="AI960" s="111"/>
      <c r="AJ960" s="111"/>
      <c r="AK960" s="111"/>
      <c r="AL960" s="111"/>
    </row>
    <row r="961" spans="1:38" ht="13.5" customHeight="1">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c r="AD961" s="111"/>
      <c r="AE961" s="111"/>
      <c r="AF961" s="111"/>
      <c r="AG961" s="111"/>
      <c r="AH961" s="111"/>
      <c r="AI961" s="111"/>
      <c r="AJ961" s="111"/>
      <c r="AK961" s="111"/>
      <c r="AL961" s="111"/>
    </row>
    <row r="962" spans="1:38" ht="13.5" customHeight="1">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c r="AD962" s="111"/>
      <c r="AE962" s="111"/>
      <c r="AF962" s="111"/>
      <c r="AG962" s="111"/>
      <c r="AH962" s="111"/>
      <c r="AI962" s="111"/>
      <c r="AJ962" s="111"/>
      <c r="AK962" s="111"/>
      <c r="AL962" s="111"/>
    </row>
    <row r="963" spans="1:38" ht="13.5" customHeight="1">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c r="AD963" s="111"/>
      <c r="AE963" s="111"/>
      <c r="AF963" s="111"/>
      <c r="AG963" s="111"/>
      <c r="AH963" s="111"/>
      <c r="AI963" s="111"/>
      <c r="AJ963" s="111"/>
      <c r="AK963" s="111"/>
      <c r="AL963" s="111"/>
    </row>
    <row r="964" spans="1:38" ht="13.5" customHeight="1">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c r="AD964" s="111"/>
      <c r="AE964" s="111"/>
      <c r="AF964" s="111"/>
      <c r="AG964" s="111"/>
      <c r="AH964" s="111"/>
      <c r="AI964" s="111"/>
      <c r="AJ964" s="111"/>
      <c r="AK964" s="111"/>
      <c r="AL964" s="111"/>
    </row>
    <row r="965" spans="1:38" ht="13.5" customHeight="1">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c r="AD965" s="111"/>
      <c r="AE965" s="111"/>
      <c r="AF965" s="111"/>
      <c r="AG965" s="111"/>
      <c r="AH965" s="111"/>
      <c r="AI965" s="111"/>
      <c r="AJ965" s="111"/>
      <c r="AK965" s="111"/>
      <c r="AL965" s="111"/>
    </row>
    <row r="966" spans="1:38" ht="13.5" customHeight="1">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c r="AD966" s="111"/>
      <c r="AE966" s="111"/>
      <c r="AF966" s="111"/>
      <c r="AG966" s="111"/>
      <c r="AH966" s="111"/>
      <c r="AI966" s="111"/>
      <c r="AJ966" s="111"/>
      <c r="AK966" s="111"/>
      <c r="AL966" s="111"/>
    </row>
    <row r="967" spans="1:38" ht="13.5" customHeight="1">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c r="AD967" s="111"/>
      <c r="AE967" s="111"/>
      <c r="AF967" s="111"/>
      <c r="AG967" s="111"/>
      <c r="AH967" s="111"/>
      <c r="AI967" s="111"/>
      <c r="AJ967" s="111"/>
      <c r="AK967" s="111"/>
      <c r="AL967" s="111"/>
    </row>
    <row r="968" spans="1:38" ht="13.5" customHeight="1">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c r="AD968" s="111"/>
      <c r="AE968" s="111"/>
      <c r="AF968" s="111"/>
      <c r="AG968" s="111"/>
      <c r="AH968" s="111"/>
      <c r="AI968" s="111"/>
      <c r="AJ968" s="111"/>
      <c r="AK968" s="111"/>
      <c r="AL968" s="111"/>
    </row>
    <row r="969" spans="1:38" ht="13.5" customHeight="1">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c r="AD969" s="111"/>
      <c r="AE969" s="111"/>
      <c r="AF969" s="111"/>
      <c r="AG969" s="111"/>
      <c r="AH969" s="111"/>
      <c r="AI969" s="111"/>
      <c r="AJ969" s="111"/>
      <c r="AK969" s="111"/>
      <c r="AL969" s="111"/>
    </row>
    <row r="970" spans="1:38" ht="13.5" customHeight="1">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c r="AD970" s="111"/>
      <c r="AE970" s="111"/>
      <c r="AF970" s="111"/>
      <c r="AG970" s="111"/>
      <c r="AH970" s="111"/>
      <c r="AI970" s="111"/>
      <c r="AJ970" s="111"/>
      <c r="AK970" s="111"/>
      <c r="AL970" s="111"/>
    </row>
    <row r="971" spans="1:38" ht="13.5" customHeight="1">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c r="AD971" s="111"/>
      <c r="AE971" s="111"/>
      <c r="AF971" s="111"/>
      <c r="AG971" s="111"/>
      <c r="AH971" s="111"/>
      <c r="AI971" s="111"/>
      <c r="AJ971" s="111"/>
      <c r="AK971" s="111"/>
      <c r="AL971" s="111"/>
    </row>
    <row r="972" spans="1:38" ht="13.5" customHeight="1">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c r="AD972" s="111"/>
      <c r="AE972" s="111"/>
      <c r="AF972" s="111"/>
      <c r="AG972" s="111"/>
      <c r="AH972" s="111"/>
      <c r="AI972" s="111"/>
      <c r="AJ972" s="111"/>
      <c r="AK972" s="111"/>
      <c r="AL972" s="111"/>
    </row>
    <row r="973" spans="1:38" ht="13.5" customHeight="1">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c r="AD973" s="111"/>
      <c r="AE973" s="111"/>
      <c r="AF973" s="111"/>
      <c r="AG973" s="111"/>
      <c r="AH973" s="111"/>
      <c r="AI973" s="111"/>
      <c r="AJ973" s="111"/>
      <c r="AK973" s="111"/>
      <c r="AL973" s="111"/>
    </row>
    <row r="974" spans="1:38" ht="13.5" customHeight="1">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c r="AD974" s="111"/>
      <c r="AE974" s="111"/>
      <c r="AF974" s="111"/>
      <c r="AG974" s="111"/>
      <c r="AH974" s="111"/>
      <c r="AI974" s="111"/>
      <c r="AJ974" s="111"/>
      <c r="AK974" s="111"/>
      <c r="AL974" s="111"/>
    </row>
    <row r="975" spans="1:38" ht="13.5" customHeight="1">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c r="AD975" s="111"/>
      <c r="AE975" s="111"/>
      <c r="AF975" s="111"/>
      <c r="AG975" s="111"/>
      <c r="AH975" s="111"/>
      <c r="AI975" s="111"/>
      <c r="AJ975" s="111"/>
      <c r="AK975" s="111"/>
      <c r="AL975" s="111"/>
    </row>
    <row r="976" spans="1:38" ht="13.5" customHeight="1">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c r="AD976" s="111"/>
      <c r="AE976" s="111"/>
      <c r="AF976" s="111"/>
      <c r="AG976" s="111"/>
      <c r="AH976" s="111"/>
      <c r="AI976" s="111"/>
      <c r="AJ976" s="111"/>
      <c r="AK976" s="111"/>
      <c r="AL976" s="111"/>
    </row>
    <row r="977" spans="1:38" ht="13.5" customHeight="1">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c r="AD977" s="111"/>
      <c r="AE977" s="111"/>
      <c r="AF977" s="111"/>
      <c r="AG977" s="111"/>
      <c r="AH977" s="111"/>
      <c r="AI977" s="111"/>
      <c r="AJ977" s="111"/>
      <c r="AK977" s="111"/>
      <c r="AL977" s="111"/>
    </row>
    <row r="978" spans="1:38" ht="13.5" customHeight="1">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c r="AD978" s="111"/>
      <c r="AE978" s="111"/>
      <c r="AF978" s="111"/>
      <c r="AG978" s="111"/>
      <c r="AH978" s="111"/>
      <c r="AI978" s="111"/>
      <c r="AJ978" s="111"/>
      <c r="AK978" s="111"/>
      <c r="AL978" s="111"/>
    </row>
    <row r="979" spans="1:38" ht="13.5" customHeight="1">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c r="AD979" s="111"/>
      <c r="AE979" s="111"/>
      <c r="AF979" s="111"/>
      <c r="AG979" s="111"/>
      <c r="AH979" s="111"/>
      <c r="AI979" s="111"/>
      <c r="AJ979" s="111"/>
      <c r="AK979" s="111"/>
      <c r="AL979" s="111"/>
    </row>
    <row r="980" spans="1:38" ht="13.5" customHeight="1">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c r="AD980" s="111"/>
      <c r="AE980" s="111"/>
      <c r="AF980" s="111"/>
      <c r="AG980" s="111"/>
      <c r="AH980" s="111"/>
      <c r="AI980" s="111"/>
      <c r="AJ980" s="111"/>
      <c r="AK980" s="111"/>
      <c r="AL980" s="111"/>
    </row>
    <row r="981" spans="1:38" ht="13.5" customHeight="1">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c r="AD981" s="111"/>
      <c r="AE981" s="111"/>
      <c r="AF981" s="111"/>
      <c r="AG981" s="111"/>
      <c r="AH981" s="111"/>
      <c r="AI981" s="111"/>
      <c r="AJ981" s="111"/>
      <c r="AK981" s="111"/>
      <c r="AL981" s="111"/>
    </row>
    <row r="982" spans="1:38" ht="13.5" customHeight="1">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c r="AD982" s="111"/>
      <c r="AE982" s="111"/>
      <c r="AF982" s="111"/>
      <c r="AG982" s="111"/>
      <c r="AH982" s="111"/>
      <c r="AI982" s="111"/>
      <c r="AJ982" s="111"/>
      <c r="AK982" s="111"/>
      <c r="AL982" s="111"/>
    </row>
    <row r="983" spans="1:38" ht="13.5" customHeight="1">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c r="AD983" s="111"/>
      <c r="AE983" s="111"/>
      <c r="AF983" s="111"/>
      <c r="AG983" s="111"/>
      <c r="AH983" s="111"/>
      <c r="AI983" s="111"/>
      <c r="AJ983" s="111"/>
      <c r="AK983" s="111"/>
      <c r="AL983" s="111"/>
    </row>
    <row r="984" spans="1:38" ht="13.5" customHeight="1">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c r="AD984" s="111"/>
      <c r="AE984" s="111"/>
      <c r="AF984" s="111"/>
      <c r="AG984" s="111"/>
      <c r="AH984" s="111"/>
      <c r="AI984" s="111"/>
      <c r="AJ984" s="111"/>
      <c r="AK984" s="111"/>
      <c r="AL984" s="111"/>
    </row>
    <row r="985" spans="1:38" ht="13.5" customHeight="1">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c r="AD985" s="111"/>
      <c r="AE985" s="111"/>
      <c r="AF985" s="111"/>
      <c r="AG985" s="111"/>
      <c r="AH985" s="111"/>
      <c r="AI985" s="111"/>
      <c r="AJ985" s="111"/>
      <c r="AK985" s="111"/>
      <c r="AL985" s="111"/>
    </row>
    <row r="986" spans="1:38" ht="13.5" customHeight="1">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c r="AD986" s="111"/>
      <c r="AE986" s="111"/>
      <c r="AF986" s="111"/>
      <c r="AG986" s="111"/>
      <c r="AH986" s="111"/>
      <c r="AI986" s="111"/>
      <c r="AJ986" s="111"/>
      <c r="AK986" s="111"/>
      <c r="AL986" s="111"/>
    </row>
    <row r="987" spans="1:38" ht="13.5" customHeight="1">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c r="AD987" s="111"/>
      <c r="AE987" s="111"/>
      <c r="AF987" s="111"/>
      <c r="AG987" s="111"/>
      <c r="AH987" s="111"/>
      <c r="AI987" s="111"/>
      <c r="AJ987" s="111"/>
      <c r="AK987" s="111"/>
      <c r="AL987" s="111"/>
    </row>
    <row r="988" spans="1:38" ht="13.5" customHeight="1">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c r="AD988" s="111"/>
      <c r="AE988" s="111"/>
      <c r="AF988" s="111"/>
      <c r="AG988" s="111"/>
      <c r="AH988" s="111"/>
      <c r="AI988" s="111"/>
      <c r="AJ988" s="111"/>
      <c r="AK988" s="111"/>
      <c r="AL988" s="111"/>
    </row>
    <row r="989" spans="1:38" ht="13.5" customHeight="1">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c r="AD989" s="111"/>
      <c r="AE989" s="111"/>
      <c r="AF989" s="111"/>
      <c r="AG989" s="111"/>
      <c r="AH989" s="111"/>
      <c r="AI989" s="111"/>
      <c r="AJ989" s="111"/>
      <c r="AK989" s="111"/>
      <c r="AL989" s="111"/>
    </row>
    <row r="990" spans="1:38" ht="13.5" customHeight="1">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c r="AD990" s="111"/>
      <c r="AE990" s="111"/>
      <c r="AF990" s="111"/>
      <c r="AG990" s="111"/>
      <c r="AH990" s="111"/>
      <c r="AI990" s="111"/>
      <c r="AJ990" s="111"/>
      <c r="AK990" s="111"/>
      <c r="AL990" s="111"/>
    </row>
    <row r="991" spans="1:38" ht="13.5" customHeight="1">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c r="AD991" s="111"/>
      <c r="AE991" s="111"/>
      <c r="AF991" s="111"/>
      <c r="AG991" s="111"/>
      <c r="AH991" s="111"/>
      <c r="AI991" s="111"/>
      <c r="AJ991" s="111"/>
      <c r="AK991" s="111"/>
      <c r="AL991" s="111"/>
    </row>
    <row r="992" spans="1:38" ht="13.5" customHeight="1">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c r="AD992" s="111"/>
      <c r="AE992" s="111"/>
      <c r="AF992" s="111"/>
      <c r="AG992" s="111"/>
      <c r="AH992" s="111"/>
      <c r="AI992" s="111"/>
      <c r="AJ992" s="111"/>
      <c r="AK992" s="111"/>
      <c r="AL992" s="111"/>
    </row>
    <row r="993" spans="1:38" ht="13.5" customHeight="1">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c r="AD993" s="111"/>
      <c r="AE993" s="111"/>
      <c r="AF993" s="111"/>
      <c r="AG993" s="111"/>
      <c r="AH993" s="111"/>
      <c r="AI993" s="111"/>
      <c r="AJ993" s="111"/>
      <c r="AK993" s="111"/>
      <c r="AL993" s="111"/>
    </row>
    <row r="994" spans="1:38" ht="13.5" customHeight="1">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c r="AD994" s="111"/>
      <c r="AE994" s="111"/>
      <c r="AF994" s="111"/>
      <c r="AG994" s="111"/>
      <c r="AH994" s="111"/>
      <c r="AI994" s="111"/>
      <c r="AJ994" s="111"/>
      <c r="AK994" s="111"/>
      <c r="AL994" s="111"/>
    </row>
    <row r="995" spans="1:38" ht="13.5" customHeight="1">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c r="AD995" s="111"/>
      <c r="AE995" s="111"/>
      <c r="AF995" s="111"/>
      <c r="AG995" s="111"/>
      <c r="AH995" s="111"/>
      <c r="AI995" s="111"/>
      <c r="AJ995" s="111"/>
      <c r="AK995" s="111"/>
      <c r="AL995" s="111"/>
    </row>
    <row r="996" spans="1:38" ht="13.5" customHeight="1">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c r="AD996" s="111"/>
      <c r="AE996" s="111"/>
      <c r="AF996" s="111"/>
      <c r="AG996" s="111"/>
      <c r="AH996" s="111"/>
      <c r="AI996" s="111"/>
      <c r="AJ996" s="111"/>
      <c r="AK996" s="111"/>
      <c r="AL996" s="111"/>
    </row>
    <row r="997" spans="1:38" ht="13.5" customHeight="1">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c r="AD997" s="111"/>
      <c r="AE997" s="111"/>
      <c r="AF997" s="111"/>
      <c r="AG997" s="111"/>
      <c r="AH997" s="111"/>
      <c r="AI997" s="111"/>
      <c r="AJ997" s="111"/>
      <c r="AK997" s="111"/>
      <c r="AL997" s="111"/>
    </row>
    <row r="998" spans="1:38" ht="13.5" customHeight="1">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c r="AD998" s="111"/>
      <c r="AE998" s="111"/>
      <c r="AF998" s="111"/>
      <c r="AG998" s="111"/>
      <c r="AH998" s="111"/>
      <c r="AI998" s="111"/>
      <c r="AJ998" s="111"/>
      <c r="AK998" s="111"/>
      <c r="AL998" s="111"/>
    </row>
    <row r="999" spans="1:38" ht="13.5" customHeight="1">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c r="AD999" s="111"/>
      <c r="AE999" s="111"/>
      <c r="AF999" s="111"/>
      <c r="AG999" s="111"/>
      <c r="AH999" s="111"/>
      <c r="AI999" s="111"/>
      <c r="AJ999" s="111"/>
      <c r="AK999" s="111"/>
      <c r="AL999" s="111"/>
    </row>
    <row r="1000" spans="1:38" ht="13.5" customHeight="1">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c r="AD1000" s="111"/>
      <c r="AE1000" s="111"/>
      <c r="AF1000" s="111"/>
      <c r="AG1000" s="111"/>
      <c r="AH1000" s="111"/>
      <c r="AI1000" s="111"/>
      <c r="AJ1000" s="111"/>
      <c r="AK1000" s="111"/>
      <c r="AL1000" s="111"/>
    </row>
  </sheetData>
  <autoFilter ref="A1:AL100">
    <filterColumn colId="36">
      <filters>
        <filter val="207M"/>
        <filter val="207М_x000a_128M"/>
      </filters>
    </filterColumn>
  </autoFilter>
  <conditionalFormatting sqref="A2:E100">
    <cfRule type="expression" dxfId="35" priority="1">
      <formula>#REF!=TRUE</formula>
    </cfRule>
  </conditionalFormatting>
  <conditionalFormatting sqref="F2:F100">
    <cfRule type="expression" dxfId="34" priority="7">
      <formula>$CI2=TRUE</formula>
    </cfRule>
  </conditionalFormatting>
  <conditionalFormatting sqref="G2:G100">
    <cfRule type="expression" dxfId="33" priority="12">
      <formula>$CN2=TRUE</formula>
    </cfRule>
  </conditionalFormatting>
  <conditionalFormatting sqref="G2:H100">
    <cfRule type="expression" dxfId="32" priority="8">
      <formula>$CJ2=TRUE</formula>
    </cfRule>
  </conditionalFormatting>
  <conditionalFormatting sqref="H2:H100">
    <cfRule type="expression" dxfId="31" priority="4">
      <formula>$CG2=TRUE</formula>
    </cfRule>
    <cfRule type="expression" dxfId="30" priority="5">
      <formula>$CF2=TRUE</formula>
    </cfRule>
  </conditionalFormatting>
  <conditionalFormatting sqref="J2:J100">
    <cfRule type="expression" dxfId="29" priority="2">
      <formula>$CD2=TRUE</formula>
    </cfRule>
    <cfRule type="expression" dxfId="28" priority="3">
      <formula>$CO2=TRUE</formula>
    </cfRule>
  </conditionalFormatting>
  <conditionalFormatting sqref="K2:K100 N2:N100">
    <cfRule type="expression" dxfId="27" priority="10">
      <formula>$CM2=TRUE</formula>
    </cfRule>
    <cfRule type="expression" dxfId="26" priority="11">
      <formula>$CL2=TRUE</formula>
    </cfRule>
  </conditionalFormatting>
  <conditionalFormatting sqref="L2:L100">
    <cfRule type="expression" dxfId="25" priority="6">
      <formula>$CH2=TRUE</formula>
    </cfRule>
  </conditionalFormatting>
  <conditionalFormatting sqref="P2:P100">
    <cfRule type="expression" dxfId="24" priority="9">
      <formula>$CK2=TRUE</formula>
    </cfRule>
  </conditionalFormatting>
  <dataValidations count="7">
    <dataValidation type="decimal" allowBlank="1" showErrorMessage="1" sqref="F2:F100">
      <formula1>0</formula1>
      <formula2>5000</formula2>
    </dataValidation>
    <dataValidation type="list" allowBlank="1" showErrorMessage="1" sqref="J2:J100">
      <formula1>Cost_Input2</formula1>
    </dataValidation>
    <dataValidation type="list" allowBlank="1" showErrorMessage="1" sqref="M2:M100">
      <formula1>"Approved Funding,UQD,Potential Savings/Efficiencies,Savings,C19RM Above Base Allocation,C19RM Unfunded Demand"</formula1>
    </dataValidation>
    <dataValidation type="list" allowBlank="1" showErrorMessage="1" sqref="P2:P100">
      <formula1>Currencies</formula1>
    </dataValidation>
    <dataValidation type="decimal" operator="greaterThan" allowBlank="1" showErrorMessage="1" sqref="R2:R100 T2:T100 V2:V100 X2:X100 Z2:Z100 AD2:AD100">
      <formula1>-1</formula1>
    </dataValidation>
    <dataValidation type="list" allowBlank="1" showErrorMessage="1" sqref="AE2:AE100">
      <formula1>"Detailed workings,Historical cost,Quote from supplier,Recent invoice,PSM Products &amp; Costs"</formula1>
    </dataValidation>
    <dataValidation type="list" allowBlank="1" showErrorMessage="1" sqref="N2:N100">
      <formula1>GrantName</formula1>
    </dataValidation>
  </dataValidation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7"/>
  <sheetViews>
    <sheetView workbookViewId="0"/>
  </sheetViews>
  <sheetFormatPr defaultColWidth="14.44140625" defaultRowHeight="15" customHeight="1"/>
  <cols>
    <col min="1" max="3" width="7.88671875" customWidth="1"/>
    <col min="4" max="4" width="67.88671875" customWidth="1"/>
    <col min="5" max="5" width="12.6640625" customWidth="1"/>
    <col min="6" max="7" width="7.88671875" customWidth="1"/>
    <col min="8" max="9" width="8.109375" customWidth="1"/>
    <col min="10" max="10" width="11.44140625" customWidth="1"/>
    <col min="11" max="11" width="10.44140625" customWidth="1"/>
    <col min="12" max="30" width="7.88671875" customWidth="1"/>
  </cols>
  <sheetData>
    <row r="1" spans="1:30" ht="14.25" customHeight="1">
      <c r="A1" s="768" t="s">
        <v>2072</v>
      </c>
      <c r="B1" s="4" t="s">
        <v>2073</v>
      </c>
      <c r="C1" s="768" t="s">
        <v>2074</v>
      </c>
      <c r="D1" s="4"/>
      <c r="E1" s="4"/>
      <c r="F1" s="4"/>
      <c r="G1" s="4"/>
      <c r="H1" s="4"/>
      <c r="I1" s="4"/>
      <c r="J1" s="4"/>
      <c r="K1" s="4"/>
      <c r="L1" s="4"/>
      <c r="M1" s="4"/>
      <c r="N1" s="4"/>
      <c r="O1" s="4"/>
      <c r="P1" s="4"/>
      <c r="Q1" s="4"/>
      <c r="R1" s="4"/>
      <c r="S1" s="4"/>
      <c r="T1" s="4"/>
      <c r="U1" s="4"/>
      <c r="V1" s="4"/>
      <c r="W1" s="4"/>
      <c r="X1" s="4"/>
      <c r="Y1" s="4"/>
      <c r="Z1" s="4"/>
      <c r="AA1" s="4"/>
      <c r="AB1" s="4"/>
      <c r="AC1" s="4"/>
      <c r="AD1" s="4"/>
    </row>
    <row r="2" spans="1:30" ht="14.25" customHeight="1">
      <c r="A2" s="768" t="str">
        <f>Budget_C19RM!$AK$7</f>
        <v>202М</v>
      </c>
      <c r="B2" s="769"/>
      <c r="C2" s="768" t="s">
        <v>1822</v>
      </c>
      <c r="D2" s="474" t="s">
        <v>640</v>
      </c>
      <c r="E2" s="475"/>
      <c r="F2" s="475"/>
      <c r="G2" s="475"/>
      <c r="H2" s="475"/>
      <c r="I2" s="475"/>
      <c r="J2" s="476"/>
      <c r="K2" s="769"/>
      <c r="L2" s="770"/>
      <c r="M2" s="770" t="s">
        <v>972</v>
      </c>
      <c r="N2" s="769" t="s">
        <v>973</v>
      </c>
      <c r="O2" s="769" t="s">
        <v>974</v>
      </c>
      <c r="P2" s="769">
        <v>25.534475</v>
      </c>
      <c r="Q2" s="769"/>
      <c r="R2" s="769"/>
      <c r="S2" s="769"/>
      <c r="T2" s="769"/>
      <c r="U2" s="769"/>
      <c r="V2" s="769"/>
      <c r="W2" s="771"/>
      <c r="X2" s="769"/>
      <c r="Y2" s="769"/>
      <c r="Z2" s="769"/>
      <c r="AA2" s="769"/>
      <c r="AB2" s="769"/>
      <c r="AC2" s="769"/>
      <c r="AD2" s="769"/>
    </row>
    <row r="3" spans="1:30" ht="14.25" customHeight="1">
      <c r="A3" s="768" t="str">
        <f>Budget_C19RM!$AK$7</f>
        <v>202М</v>
      </c>
      <c r="B3" s="769"/>
      <c r="C3" s="768" t="s">
        <v>1822</v>
      </c>
      <c r="D3" s="477" t="s">
        <v>2075</v>
      </c>
      <c r="E3" s="478" t="s">
        <v>394</v>
      </c>
      <c r="F3" s="478" t="s">
        <v>2076</v>
      </c>
      <c r="G3" s="478" t="s">
        <v>2077</v>
      </c>
      <c r="H3" s="478" t="s">
        <v>2078</v>
      </c>
      <c r="I3" s="478" t="s">
        <v>2079</v>
      </c>
      <c r="J3" s="479" t="s">
        <v>2080</v>
      </c>
      <c r="K3" s="96"/>
      <c r="L3" s="480"/>
      <c r="M3" s="480"/>
      <c r="N3" s="96"/>
      <c r="O3" s="96"/>
      <c r="P3" s="96"/>
      <c r="Q3" s="96"/>
      <c r="R3" s="96"/>
      <c r="S3" s="96"/>
      <c r="T3" s="96"/>
      <c r="U3" s="96"/>
      <c r="V3" s="96"/>
      <c r="W3" s="481"/>
      <c r="X3" s="772"/>
      <c r="Y3" s="96"/>
      <c r="Z3" s="96"/>
      <c r="AA3" s="96"/>
      <c r="AB3" s="96"/>
      <c r="AC3" s="96"/>
      <c r="AD3" s="96"/>
    </row>
    <row r="4" spans="1:30" ht="14.25" customHeight="1">
      <c r="A4" s="768" t="str">
        <f>Budget_C19RM!$AK$7</f>
        <v>202М</v>
      </c>
      <c r="B4" s="769"/>
      <c r="C4" s="768" t="s">
        <v>1822</v>
      </c>
      <c r="D4" s="104" t="s">
        <v>2081</v>
      </c>
      <c r="E4" s="482" t="s">
        <v>2082</v>
      </c>
      <c r="F4" s="104">
        <v>80</v>
      </c>
      <c r="G4" s="104">
        <v>1</v>
      </c>
      <c r="H4" s="104">
        <v>1</v>
      </c>
      <c r="I4" s="483">
        <v>80</v>
      </c>
      <c r="J4" s="483">
        <v>3.1330191828890155</v>
      </c>
      <c r="K4" s="96"/>
      <c r="L4" s="484"/>
      <c r="M4" s="485">
        <v>4690</v>
      </c>
      <c r="N4" s="485">
        <v>18760</v>
      </c>
      <c r="O4" s="485">
        <v>9380</v>
      </c>
      <c r="P4" s="486">
        <v>375200</v>
      </c>
      <c r="Q4" s="486">
        <v>1500800</v>
      </c>
      <c r="R4" s="486">
        <v>750400</v>
      </c>
      <c r="S4" s="487">
        <v>2626400</v>
      </c>
      <c r="T4" s="487">
        <v>14693.859967749484</v>
      </c>
      <c r="U4" s="487">
        <v>58775.439870997936</v>
      </c>
      <c r="V4" s="487">
        <v>29387.719935498968</v>
      </c>
      <c r="W4" s="481">
        <v>102857.01977424638</v>
      </c>
      <c r="X4" s="772" t="s">
        <v>977</v>
      </c>
      <c r="Y4" s="96" t="s">
        <v>1822</v>
      </c>
      <c r="Z4" s="96"/>
      <c r="AA4" s="96"/>
      <c r="AB4" s="96"/>
      <c r="AC4" s="96"/>
      <c r="AD4" s="96"/>
    </row>
    <row r="5" spans="1:30" ht="14.25" customHeight="1">
      <c r="A5" s="768" t="str">
        <f>Budget_C19RM!$AK$7</f>
        <v>202М</v>
      </c>
      <c r="B5" s="769"/>
      <c r="C5" s="768" t="s">
        <v>1822</v>
      </c>
      <c r="D5" s="104" t="s">
        <v>2083</v>
      </c>
      <c r="E5" s="482" t="s">
        <v>2082</v>
      </c>
      <c r="F5" s="104">
        <v>105</v>
      </c>
      <c r="G5" s="104">
        <v>1</v>
      </c>
      <c r="H5" s="104">
        <v>0.7</v>
      </c>
      <c r="I5" s="483">
        <v>73.5</v>
      </c>
      <c r="J5" s="483">
        <v>2.8784613742792833</v>
      </c>
      <c r="K5" s="96"/>
      <c r="L5" s="484"/>
      <c r="M5" s="485">
        <v>4690</v>
      </c>
      <c r="N5" s="485">
        <v>18760</v>
      </c>
      <c r="O5" s="485">
        <v>9380</v>
      </c>
      <c r="P5" s="486">
        <v>344715</v>
      </c>
      <c r="Q5" s="486">
        <v>1378860</v>
      </c>
      <c r="R5" s="486">
        <v>689430</v>
      </c>
      <c r="S5" s="487">
        <v>2413005</v>
      </c>
      <c r="T5" s="487">
        <v>13499.983845369838</v>
      </c>
      <c r="U5" s="487">
        <v>53999.93538147935</v>
      </c>
      <c r="V5" s="487">
        <v>26999.967690739675</v>
      </c>
      <c r="W5" s="481">
        <v>94499.886917588869</v>
      </c>
      <c r="X5" s="772" t="s">
        <v>977</v>
      </c>
      <c r="Y5" s="96" t="s">
        <v>1822</v>
      </c>
      <c r="Z5" s="96"/>
      <c r="AA5" s="96"/>
      <c r="AB5" s="96"/>
      <c r="AC5" s="96"/>
      <c r="AD5" s="96"/>
    </row>
    <row r="6" spans="1:30" ht="14.25" customHeight="1">
      <c r="A6" s="768" t="str">
        <f>Budget_C19RM!$AK$7</f>
        <v>202М</v>
      </c>
      <c r="B6" s="769"/>
      <c r="C6" s="768" t="s">
        <v>1822</v>
      </c>
      <c r="D6" s="104" t="s">
        <v>2084</v>
      </c>
      <c r="E6" s="482" t="s">
        <v>2082</v>
      </c>
      <c r="F6" s="104">
        <v>150</v>
      </c>
      <c r="G6" s="104">
        <v>1</v>
      </c>
      <c r="H6" s="104">
        <v>0.3</v>
      </c>
      <c r="I6" s="483">
        <v>45</v>
      </c>
      <c r="J6" s="483">
        <v>1.7623232903750714</v>
      </c>
      <c r="K6" s="96"/>
      <c r="L6" s="484"/>
      <c r="M6" s="485">
        <v>4690</v>
      </c>
      <c r="N6" s="485">
        <v>18760</v>
      </c>
      <c r="O6" s="485">
        <v>9380</v>
      </c>
      <c r="P6" s="486">
        <v>211050</v>
      </c>
      <c r="Q6" s="486">
        <v>844200</v>
      </c>
      <c r="R6" s="486">
        <v>422100</v>
      </c>
      <c r="S6" s="487">
        <v>1477350</v>
      </c>
      <c r="T6" s="487">
        <v>8265.2962318590853</v>
      </c>
      <c r="U6" s="487">
        <v>33061.184927436341</v>
      </c>
      <c r="V6" s="487">
        <v>16530.592463718171</v>
      </c>
      <c r="W6" s="481">
        <v>57857.073623013588</v>
      </c>
      <c r="X6" s="772" t="s">
        <v>977</v>
      </c>
      <c r="Y6" s="96" t="s">
        <v>1822</v>
      </c>
      <c r="Z6" s="96"/>
      <c r="AA6" s="96"/>
      <c r="AB6" s="96"/>
      <c r="AC6" s="96"/>
      <c r="AD6" s="96"/>
    </row>
    <row r="7" spans="1:30" ht="14.25" customHeight="1">
      <c r="A7" s="768" t="str">
        <f>Budget_C19RM!$AK$7</f>
        <v>202М</v>
      </c>
      <c r="B7" s="769"/>
      <c r="C7" s="768" t="s">
        <v>1822</v>
      </c>
      <c r="D7" s="121" t="s">
        <v>959</v>
      </c>
      <c r="E7" s="164"/>
      <c r="F7" s="165"/>
      <c r="G7" s="166"/>
      <c r="H7" s="153"/>
      <c r="I7" s="483">
        <v>19.850000000000001</v>
      </c>
      <c r="J7" s="483">
        <v>0.77738038475433702</v>
      </c>
      <c r="K7" s="96"/>
      <c r="L7" s="484"/>
      <c r="M7" s="485">
        <v>4690</v>
      </c>
      <c r="N7" s="485">
        <v>18760</v>
      </c>
      <c r="O7" s="485">
        <v>9380</v>
      </c>
      <c r="P7" s="486">
        <v>93096.5</v>
      </c>
      <c r="Q7" s="486">
        <v>372386</v>
      </c>
      <c r="R7" s="486">
        <v>186193</v>
      </c>
      <c r="S7" s="487">
        <v>651675.5</v>
      </c>
      <c r="T7" s="487">
        <v>3645.9140044978408</v>
      </c>
      <c r="U7" s="487">
        <v>14583.656017991363</v>
      </c>
      <c r="V7" s="487">
        <v>7291.8280089956816</v>
      </c>
      <c r="W7" s="481">
        <v>25521.398031484885</v>
      </c>
      <c r="X7" s="772" t="s">
        <v>875</v>
      </c>
      <c r="Y7" s="96" t="s">
        <v>1822</v>
      </c>
      <c r="Z7" s="96"/>
      <c r="AA7" s="96"/>
      <c r="AB7" s="96"/>
      <c r="AC7" s="96"/>
      <c r="AD7" s="96"/>
    </row>
    <row r="8" spans="1:30" ht="14.25" customHeight="1">
      <c r="A8" s="768" t="str">
        <f>Budget_C19RM!$AK$7</f>
        <v>202М</v>
      </c>
      <c r="B8" s="769"/>
      <c r="C8" s="768" t="s">
        <v>1822</v>
      </c>
      <c r="D8" s="121" t="s">
        <v>962</v>
      </c>
      <c r="E8" s="164"/>
      <c r="F8" s="185"/>
      <c r="G8" s="299"/>
      <c r="H8" s="300"/>
      <c r="I8" s="483">
        <v>29.774999999999999</v>
      </c>
      <c r="J8" s="483">
        <v>1.1660705771315054</v>
      </c>
      <c r="K8" s="96"/>
      <c r="L8" s="484"/>
      <c r="M8" s="485">
        <v>4690</v>
      </c>
      <c r="N8" s="485">
        <v>18760</v>
      </c>
      <c r="O8" s="485">
        <v>9380</v>
      </c>
      <c r="P8" s="486">
        <v>139644.75</v>
      </c>
      <c r="Q8" s="486">
        <v>558579</v>
      </c>
      <c r="R8" s="486">
        <v>279289.5</v>
      </c>
      <c r="S8" s="487">
        <v>977513.25</v>
      </c>
      <c r="T8" s="487">
        <v>5468.8710067467609</v>
      </c>
      <c r="U8" s="487">
        <v>21875.484026987044</v>
      </c>
      <c r="V8" s="487">
        <v>10937.742013493522</v>
      </c>
      <c r="W8" s="481">
        <v>38282.097047227326</v>
      </c>
      <c r="X8" s="772" t="s">
        <v>881</v>
      </c>
      <c r="Y8" s="96" t="s">
        <v>1822</v>
      </c>
      <c r="Z8" s="96"/>
      <c r="AA8" s="96"/>
      <c r="AB8" s="96"/>
      <c r="AC8" s="96"/>
      <c r="AD8" s="96"/>
    </row>
    <row r="9" spans="1:30" ht="14.25" customHeight="1">
      <c r="A9" s="768" t="str">
        <f>Budget_C19RM!$AK$7</f>
        <v>202М</v>
      </c>
      <c r="B9" s="769"/>
      <c r="C9" s="768" t="s">
        <v>1822</v>
      </c>
      <c r="D9" s="104" t="s">
        <v>1219</v>
      </c>
      <c r="E9" s="482"/>
      <c r="F9" s="104"/>
      <c r="G9" s="104"/>
      <c r="H9" s="104"/>
      <c r="I9" s="488">
        <v>248.125</v>
      </c>
      <c r="J9" s="488">
        <v>9.7172548094292122</v>
      </c>
      <c r="K9" s="96"/>
      <c r="L9" s="485"/>
      <c r="M9" s="485">
        <v>4690</v>
      </c>
      <c r="N9" s="485">
        <v>18760</v>
      </c>
      <c r="O9" s="485">
        <v>9380</v>
      </c>
      <c r="P9" s="489">
        <v>1163706.25</v>
      </c>
      <c r="Q9" s="489">
        <v>4654825</v>
      </c>
      <c r="R9" s="489">
        <v>2327412.5</v>
      </c>
      <c r="S9" s="490">
        <v>8145943.75</v>
      </c>
      <c r="T9" s="490">
        <v>45573.925056223008</v>
      </c>
      <c r="U9" s="490">
        <v>182295.70022489203</v>
      </c>
      <c r="V9" s="490">
        <v>91147.850112446016</v>
      </c>
      <c r="W9" s="491">
        <v>319017.47539356106</v>
      </c>
      <c r="X9" s="773"/>
      <c r="Y9" s="96"/>
      <c r="Z9" s="96"/>
      <c r="AA9" s="96"/>
      <c r="AB9" s="96"/>
      <c r="AC9" s="96"/>
      <c r="AD9" s="96"/>
    </row>
    <row r="10" spans="1:30" ht="14.25" customHeight="1">
      <c r="A10" s="768"/>
      <c r="B10" s="96"/>
      <c r="C10" s="768"/>
      <c r="D10" s="96"/>
      <c r="E10" s="96"/>
      <c r="F10" s="96"/>
      <c r="G10" s="96"/>
      <c r="H10" s="96"/>
      <c r="I10" s="96"/>
      <c r="J10" s="492"/>
      <c r="K10" s="96"/>
      <c r="L10" s="492"/>
      <c r="M10" s="492"/>
      <c r="N10" s="96"/>
      <c r="O10" s="96"/>
      <c r="P10" s="96"/>
      <c r="Q10" s="96"/>
      <c r="R10" s="96"/>
      <c r="S10" s="96"/>
      <c r="T10" s="96"/>
      <c r="U10" s="96"/>
      <c r="V10" s="96"/>
      <c r="W10" s="481"/>
      <c r="X10" s="772"/>
      <c r="Y10" s="96"/>
      <c r="Z10" s="96"/>
      <c r="AA10" s="96"/>
      <c r="AB10" s="96"/>
      <c r="AC10" s="96"/>
      <c r="AD10" s="96"/>
    </row>
    <row r="11" spans="1:30" ht="14.25" customHeight="1">
      <c r="A11" s="768"/>
      <c r="B11" s="96"/>
      <c r="C11" s="768"/>
      <c r="D11" s="96"/>
      <c r="E11" s="96"/>
      <c r="F11" s="96"/>
      <c r="G11" s="96"/>
      <c r="H11" s="96"/>
      <c r="I11" s="96"/>
      <c r="J11" s="492"/>
      <c r="K11" s="96"/>
      <c r="L11" s="492"/>
      <c r="M11" s="492"/>
      <c r="N11" s="96"/>
      <c r="O11" s="96"/>
      <c r="P11" s="96"/>
      <c r="Q11" s="96"/>
      <c r="R11" s="96"/>
      <c r="S11" s="96"/>
      <c r="T11" s="96"/>
      <c r="U11" s="96"/>
      <c r="V11" s="96"/>
      <c r="W11" s="481"/>
      <c r="X11" s="772"/>
      <c r="Y11" s="96"/>
      <c r="Z11" s="96"/>
      <c r="AA11" s="96"/>
      <c r="AB11" s="96"/>
      <c r="AC11" s="96"/>
      <c r="AD11" s="96"/>
    </row>
    <row r="12" spans="1:30" ht="14.25" customHeight="1">
      <c r="A12" s="768" t="str">
        <f>Budget_C19RM!$AK$2</f>
        <v>201М</v>
      </c>
      <c r="B12" s="769"/>
      <c r="C12" s="768" t="s">
        <v>1804</v>
      </c>
      <c r="D12" s="474" t="s">
        <v>635</v>
      </c>
      <c r="E12" s="475"/>
      <c r="F12" s="475"/>
      <c r="G12" s="475"/>
      <c r="H12" s="475"/>
      <c r="I12" s="475"/>
      <c r="J12" s="476"/>
      <c r="K12" s="769"/>
      <c r="L12" s="770"/>
      <c r="M12" s="770"/>
      <c r="N12" s="769"/>
      <c r="O12" s="769"/>
      <c r="P12" s="769"/>
      <c r="Q12" s="769"/>
      <c r="R12" s="769"/>
      <c r="S12" s="769"/>
      <c r="T12" s="769"/>
      <c r="U12" s="769"/>
      <c r="V12" s="769"/>
      <c r="W12" s="771"/>
      <c r="X12" s="769"/>
      <c r="Y12" s="769"/>
      <c r="Z12" s="769"/>
      <c r="AA12" s="769"/>
      <c r="AB12" s="769"/>
      <c r="AC12" s="769"/>
      <c r="AD12" s="769"/>
    </row>
    <row r="13" spans="1:30" ht="14.25" customHeight="1">
      <c r="A13" s="768" t="str">
        <f>Budget_C19RM!$AK$2</f>
        <v>201М</v>
      </c>
      <c r="B13" s="769"/>
      <c r="C13" s="768" t="s">
        <v>1804</v>
      </c>
      <c r="D13" s="477" t="s">
        <v>2075</v>
      </c>
      <c r="E13" s="478" t="s">
        <v>394</v>
      </c>
      <c r="F13" s="478" t="s">
        <v>2076</v>
      </c>
      <c r="G13" s="478" t="s">
        <v>2077</v>
      </c>
      <c r="H13" s="478" t="s">
        <v>2078</v>
      </c>
      <c r="I13" s="478" t="s">
        <v>2079</v>
      </c>
      <c r="J13" s="479" t="s">
        <v>2080</v>
      </c>
      <c r="K13" s="96"/>
      <c r="L13" s="480"/>
      <c r="M13" s="480"/>
      <c r="N13" s="96"/>
      <c r="O13" s="96"/>
      <c r="P13" s="96"/>
      <c r="Q13" s="96"/>
      <c r="R13" s="96"/>
      <c r="S13" s="96"/>
      <c r="T13" s="96"/>
      <c r="U13" s="96"/>
      <c r="V13" s="96"/>
      <c r="W13" s="481"/>
      <c r="X13" s="772"/>
      <c r="Y13" s="96"/>
      <c r="Z13" s="96"/>
      <c r="AA13" s="96"/>
      <c r="AB13" s="96"/>
      <c r="AC13" s="96"/>
      <c r="AD13" s="96"/>
    </row>
    <row r="14" spans="1:30" ht="14.25" customHeight="1">
      <c r="A14" s="768" t="str">
        <f>Budget_C19RM!$AK$2</f>
        <v>201М</v>
      </c>
      <c r="B14" s="769"/>
      <c r="C14" s="768" t="s">
        <v>1804</v>
      </c>
      <c r="D14" s="104" t="s">
        <v>2085</v>
      </c>
      <c r="E14" s="482" t="s">
        <v>2086</v>
      </c>
      <c r="F14" s="104">
        <v>175</v>
      </c>
      <c r="G14" s="104">
        <v>1</v>
      </c>
      <c r="H14" s="104">
        <v>0.2</v>
      </c>
      <c r="I14" s="483">
        <v>35</v>
      </c>
      <c r="J14" s="483">
        <v>1.3706958925139443</v>
      </c>
      <c r="K14" s="96"/>
      <c r="L14" s="484"/>
      <c r="M14" s="485">
        <v>156</v>
      </c>
      <c r="N14" s="485">
        <v>624</v>
      </c>
      <c r="O14" s="485">
        <v>312</v>
      </c>
      <c r="P14" s="486">
        <v>5460</v>
      </c>
      <c r="Q14" s="486">
        <v>21840</v>
      </c>
      <c r="R14" s="486">
        <v>10920</v>
      </c>
      <c r="S14" s="487">
        <v>38220</v>
      </c>
      <c r="T14" s="487">
        <v>213.82855923217531</v>
      </c>
      <c r="U14" s="487">
        <v>855.31423692870123</v>
      </c>
      <c r="V14" s="487">
        <v>427.65711846435062</v>
      </c>
      <c r="W14" s="481">
        <v>1496.7999146252273</v>
      </c>
      <c r="X14" s="772" t="s">
        <v>977</v>
      </c>
      <c r="Y14" s="96" t="s">
        <v>1804</v>
      </c>
      <c r="Z14" s="96"/>
      <c r="AA14" s="96"/>
      <c r="AB14" s="96"/>
      <c r="AC14" s="96"/>
      <c r="AD14" s="96"/>
    </row>
    <row r="15" spans="1:30" ht="14.25" customHeight="1">
      <c r="A15" s="768" t="str">
        <f>Budget_C19RM!$AK$2</f>
        <v>201М</v>
      </c>
      <c r="B15" s="769"/>
      <c r="C15" s="768" t="s">
        <v>1804</v>
      </c>
      <c r="D15" s="104" t="s">
        <v>2087</v>
      </c>
      <c r="E15" s="482" t="s">
        <v>2086</v>
      </c>
      <c r="F15" s="104">
        <v>80</v>
      </c>
      <c r="G15" s="104">
        <v>1</v>
      </c>
      <c r="H15" s="104">
        <v>1</v>
      </c>
      <c r="I15" s="483">
        <v>80</v>
      </c>
      <c r="J15" s="483">
        <v>3.1330191828890155</v>
      </c>
      <c r="K15" s="96"/>
      <c r="L15" s="484"/>
      <c r="M15" s="485">
        <v>156</v>
      </c>
      <c r="N15" s="485">
        <v>624</v>
      </c>
      <c r="O15" s="485">
        <v>312</v>
      </c>
      <c r="P15" s="486">
        <v>12480</v>
      </c>
      <c r="Q15" s="486">
        <v>49920</v>
      </c>
      <c r="R15" s="486">
        <v>24960</v>
      </c>
      <c r="S15" s="487">
        <v>87360</v>
      </c>
      <c r="T15" s="487">
        <v>488.75099253068646</v>
      </c>
      <c r="U15" s="487">
        <v>1955.0039701227458</v>
      </c>
      <c r="V15" s="487">
        <v>977.50198506137292</v>
      </c>
      <c r="W15" s="481">
        <v>3421.2569477148049</v>
      </c>
      <c r="X15" s="772" t="s">
        <v>977</v>
      </c>
      <c r="Y15" s="96" t="s">
        <v>1804</v>
      </c>
      <c r="Z15" s="96"/>
      <c r="AA15" s="96"/>
      <c r="AB15" s="96"/>
      <c r="AC15" s="96"/>
      <c r="AD15" s="96"/>
    </row>
    <row r="16" spans="1:30" ht="14.25" customHeight="1">
      <c r="A16" s="768" t="str">
        <f>Budget_C19RM!$AK$2</f>
        <v>201М</v>
      </c>
      <c r="B16" s="769"/>
      <c r="C16" s="768" t="s">
        <v>1804</v>
      </c>
      <c r="D16" s="104" t="s">
        <v>2088</v>
      </c>
      <c r="E16" s="482" t="s">
        <v>2086</v>
      </c>
      <c r="F16" s="104">
        <v>2413</v>
      </c>
      <c r="G16" s="104">
        <v>1</v>
      </c>
      <c r="H16" s="104">
        <v>1</v>
      </c>
      <c r="I16" s="483">
        <v>2413</v>
      </c>
      <c r="J16" s="483">
        <v>94.49969110388993</v>
      </c>
      <c r="K16" s="96" t="s">
        <v>2089</v>
      </c>
      <c r="L16" s="484"/>
      <c r="M16" s="485">
        <v>156</v>
      </c>
      <c r="N16" s="485">
        <v>624</v>
      </c>
      <c r="O16" s="485">
        <v>312</v>
      </c>
      <c r="P16" s="486">
        <v>376428</v>
      </c>
      <c r="Q16" s="486">
        <v>1505712</v>
      </c>
      <c r="R16" s="486">
        <v>752856</v>
      </c>
      <c r="S16" s="487">
        <v>2634996</v>
      </c>
      <c r="T16" s="487">
        <v>14741.951812206829</v>
      </c>
      <c r="U16" s="487">
        <v>58967.807248827317</v>
      </c>
      <c r="V16" s="487">
        <v>29483.903624413659</v>
      </c>
      <c r="W16" s="481">
        <v>103193.66268544781</v>
      </c>
      <c r="X16" s="349" t="s">
        <v>877</v>
      </c>
      <c r="Y16" s="96" t="s">
        <v>1804</v>
      </c>
      <c r="Z16" s="96" t="s">
        <v>2090</v>
      </c>
      <c r="AA16" s="96"/>
      <c r="AB16" s="96"/>
      <c r="AC16" s="96"/>
      <c r="AD16" s="96"/>
    </row>
    <row r="17" spans="1:30" ht="14.25" customHeight="1">
      <c r="A17" s="768" t="str">
        <f>Budget_C19RM!$AK$2</f>
        <v>201М</v>
      </c>
      <c r="B17" s="769"/>
      <c r="C17" s="768" t="s">
        <v>1804</v>
      </c>
      <c r="D17" s="493" t="s">
        <v>2091</v>
      </c>
      <c r="E17" s="494"/>
      <c r="F17" s="493"/>
      <c r="G17" s="493">
        <v>1</v>
      </c>
      <c r="H17" s="493">
        <v>1</v>
      </c>
      <c r="I17" s="495">
        <v>0</v>
      </c>
      <c r="J17" s="495">
        <v>0</v>
      </c>
      <c r="K17" s="774"/>
      <c r="L17" s="775"/>
      <c r="M17" s="776">
        <v>156</v>
      </c>
      <c r="N17" s="776">
        <v>624</v>
      </c>
      <c r="O17" s="776">
        <v>312</v>
      </c>
      <c r="P17" s="777"/>
      <c r="Q17" s="777"/>
      <c r="R17" s="777"/>
      <c r="S17" s="778"/>
      <c r="T17" s="778"/>
      <c r="U17" s="778"/>
      <c r="V17" s="778"/>
      <c r="W17" s="779"/>
      <c r="X17" s="774" t="s">
        <v>954</v>
      </c>
      <c r="Y17" s="774" t="s">
        <v>1804</v>
      </c>
      <c r="Z17" s="774" t="s">
        <v>2092</v>
      </c>
      <c r="AA17" s="774"/>
      <c r="AB17" s="774"/>
      <c r="AC17" s="774"/>
      <c r="AD17" s="774"/>
    </row>
    <row r="18" spans="1:30" ht="14.25" customHeight="1">
      <c r="A18" s="768" t="str">
        <f>Budget_C19RM!$AK$2</f>
        <v>201М</v>
      </c>
      <c r="B18" s="769"/>
      <c r="C18" s="768" t="s">
        <v>1804</v>
      </c>
      <c r="D18" s="493" t="s">
        <v>2093</v>
      </c>
      <c r="E18" s="494"/>
      <c r="F18" s="493"/>
      <c r="G18" s="493">
        <v>1</v>
      </c>
      <c r="H18" s="493">
        <v>1</v>
      </c>
      <c r="I18" s="495">
        <v>0</v>
      </c>
      <c r="J18" s="495">
        <v>0</v>
      </c>
      <c r="K18" s="774"/>
      <c r="L18" s="775"/>
      <c r="M18" s="776">
        <v>156</v>
      </c>
      <c r="N18" s="776">
        <v>624</v>
      </c>
      <c r="O18" s="776">
        <v>312</v>
      </c>
      <c r="P18" s="777"/>
      <c r="Q18" s="777"/>
      <c r="R18" s="777"/>
      <c r="S18" s="778"/>
      <c r="T18" s="778"/>
      <c r="U18" s="778"/>
      <c r="V18" s="778"/>
      <c r="W18" s="779"/>
      <c r="X18" s="774" t="s">
        <v>954</v>
      </c>
      <c r="Y18" s="774" t="s">
        <v>1804</v>
      </c>
      <c r="Z18" s="774" t="s">
        <v>2092</v>
      </c>
      <c r="AA18" s="774"/>
      <c r="AB18" s="774"/>
      <c r="AC18" s="774"/>
      <c r="AD18" s="774"/>
    </row>
    <row r="19" spans="1:30" ht="14.25" customHeight="1">
      <c r="A19" s="768" t="str">
        <f>Budget_C19RM!$AK$2</f>
        <v>201М</v>
      </c>
      <c r="B19" s="769"/>
      <c r="C19" s="768" t="s">
        <v>1804</v>
      </c>
      <c r="D19" s="493" t="s">
        <v>2094</v>
      </c>
      <c r="E19" s="494"/>
      <c r="F19" s="493"/>
      <c r="G19" s="493">
        <v>1</v>
      </c>
      <c r="H19" s="493">
        <v>1</v>
      </c>
      <c r="I19" s="495">
        <v>0</v>
      </c>
      <c r="J19" s="495">
        <v>0</v>
      </c>
      <c r="K19" s="774"/>
      <c r="L19" s="775"/>
      <c r="M19" s="776">
        <v>156</v>
      </c>
      <c r="N19" s="776">
        <v>624</v>
      </c>
      <c r="O19" s="776">
        <v>312</v>
      </c>
      <c r="P19" s="777"/>
      <c r="Q19" s="777"/>
      <c r="R19" s="777"/>
      <c r="S19" s="778"/>
      <c r="T19" s="778"/>
      <c r="U19" s="778"/>
      <c r="V19" s="778"/>
      <c r="W19" s="779"/>
      <c r="X19" s="774" t="s">
        <v>2095</v>
      </c>
      <c r="Y19" s="774" t="s">
        <v>1804</v>
      </c>
      <c r="Z19" s="774" t="s">
        <v>2092</v>
      </c>
      <c r="AA19" s="774"/>
      <c r="AB19" s="774"/>
      <c r="AC19" s="774"/>
      <c r="AD19" s="774"/>
    </row>
    <row r="20" spans="1:30" ht="14.25" customHeight="1">
      <c r="A20" s="768" t="str">
        <f>Budget_C19RM!$AK$2</f>
        <v>201М</v>
      </c>
      <c r="B20" s="769"/>
      <c r="C20" s="768" t="s">
        <v>1804</v>
      </c>
      <c r="D20" s="104" t="s">
        <v>2096</v>
      </c>
      <c r="E20" s="482" t="s">
        <v>2086</v>
      </c>
      <c r="F20" s="104">
        <v>80</v>
      </c>
      <c r="G20" s="104">
        <v>1</v>
      </c>
      <c r="H20" s="104">
        <v>1</v>
      </c>
      <c r="I20" s="483">
        <v>80</v>
      </c>
      <c r="J20" s="483">
        <v>3.1330191828890155</v>
      </c>
      <c r="K20" s="96"/>
      <c r="L20" s="484"/>
      <c r="M20" s="485">
        <v>156</v>
      </c>
      <c r="N20" s="485">
        <v>624</v>
      </c>
      <c r="O20" s="485">
        <v>312</v>
      </c>
      <c r="P20" s="486">
        <v>12480</v>
      </c>
      <c r="Q20" s="486">
        <v>49920</v>
      </c>
      <c r="R20" s="486">
        <v>24960</v>
      </c>
      <c r="S20" s="487">
        <v>87360</v>
      </c>
      <c r="T20" s="487">
        <v>488.75099253068646</v>
      </c>
      <c r="U20" s="487">
        <v>1955.0039701227458</v>
      </c>
      <c r="V20" s="487">
        <v>977.50198506137292</v>
      </c>
      <c r="W20" s="481">
        <v>3421.2569477148049</v>
      </c>
      <c r="X20" s="96" t="s">
        <v>977</v>
      </c>
      <c r="Y20" s="96" t="s">
        <v>1804</v>
      </c>
      <c r="Z20" s="96" t="s">
        <v>2097</v>
      </c>
      <c r="AA20" s="96"/>
      <c r="AB20" s="96"/>
      <c r="AC20" s="96"/>
      <c r="AD20" s="96"/>
    </row>
    <row r="21" spans="1:30" ht="14.25" customHeight="1">
      <c r="A21" s="768" t="str">
        <f>Budget_C19RM!$AK$2</f>
        <v>201М</v>
      </c>
      <c r="B21" s="769"/>
      <c r="C21" s="768" t="s">
        <v>1804</v>
      </c>
      <c r="D21" s="104" t="s">
        <v>2098</v>
      </c>
      <c r="E21" s="482" t="s">
        <v>2086</v>
      </c>
      <c r="F21" s="104">
        <v>244</v>
      </c>
      <c r="G21" s="104">
        <v>1</v>
      </c>
      <c r="H21" s="104">
        <v>1</v>
      </c>
      <c r="I21" s="483">
        <v>244</v>
      </c>
      <c r="J21" s="483">
        <v>9.5557085078114969</v>
      </c>
      <c r="K21" s="96" t="s">
        <v>2089</v>
      </c>
      <c r="L21" s="484"/>
      <c r="M21" s="485">
        <v>156</v>
      </c>
      <c r="N21" s="485">
        <v>624</v>
      </c>
      <c r="O21" s="485">
        <v>312</v>
      </c>
      <c r="P21" s="486">
        <v>38064</v>
      </c>
      <c r="Q21" s="486">
        <v>152256</v>
      </c>
      <c r="R21" s="486">
        <v>76128</v>
      </c>
      <c r="S21" s="487">
        <v>266448</v>
      </c>
      <c r="T21" s="487">
        <v>1490.6905272185936</v>
      </c>
      <c r="U21" s="487">
        <v>5962.7621088743745</v>
      </c>
      <c r="V21" s="487">
        <v>2981.3810544371872</v>
      </c>
      <c r="W21" s="481">
        <v>10434.833690530155</v>
      </c>
      <c r="X21" s="772" t="s">
        <v>989</v>
      </c>
      <c r="Y21" s="96" t="s">
        <v>1804</v>
      </c>
      <c r="Z21" s="96" t="s">
        <v>2099</v>
      </c>
      <c r="AA21" s="96"/>
      <c r="AB21" s="96"/>
      <c r="AC21" s="96"/>
      <c r="AD21" s="96"/>
    </row>
    <row r="22" spans="1:30" ht="14.25" customHeight="1">
      <c r="A22" s="768" t="str">
        <f>Budget_C19RM!$AK$2</f>
        <v>201М</v>
      </c>
      <c r="B22" s="769"/>
      <c r="C22" s="768" t="s">
        <v>1804</v>
      </c>
      <c r="D22" s="121" t="s">
        <v>959</v>
      </c>
      <c r="E22" s="482"/>
      <c r="F22" s="104"/>
      <c r="G22" s="104"/>
      <c r="H22" s="104"/>
      <c r="I22" s="483">
        <v>285.2</v>
      </c>
      <c r="J22" s="483">
        <v>11.169213386999342</v>
      </c>
      <c r="K22" s="96"/>
      <c r="L22" s="484"/>
      <c r="M22" s="485">
        <v>156</v>
      </c>
      <c r="N22" s="485">
        <v>624</v>
      </c>
      <c r="O22" s="485">
        <v>312</v>
      </c>
      <c r="P22" s="486">
        <v>44491.199999999997</v>
      </c>
      <c r="Q22" s="486">
        <v>177964.79999999999</v>
      </c>
      <c r="R22" s="486">
        <v>88982.399999999994</v>
      </c>
      <c r="S22" s="487">
        <v>311438.40000000002</v>
      </c>
      <c r="T22" s="487">
        <v>1742.397288371897</v>
      </c>
      <c r="U22" s="487">
        <v>6969.5891534875882</v>
      </c>
      <c r="V22" s="487">
        <v>3484.7945767437941</v>
      </c>
      <c r="W22" s="481">
        <v>12196.78101860328</v>
      </c>
      <c r="X22" s="772" t="s">
        <v>875</v>
      </c>
      <c r="Y22" s="96" t="s">
        <v>1804</v>
      </c>
      <c r="Z22" s="96"/>
      <c r="AA22" s="96"/>
      <c r="AB22" s="96"/>
      <c r="AC22" s="96"/>
      <c r="AD22" s="96"/>
    </row>
    <row r="23" spans="1:30" ht="14.25" customHeight="1">
      <c r="A23" s="768" t="str">
        <f>Budget_C19RM!$AK$2</f>
        <v>201М</v>
      </c>
      <c r="B23" s="769"/>
      <c r="C23" s="768" t="s">
        <v>1804</v>
      </c>
      <c r="D23" s="121" t="s">
        <v>962</v>
      </c>
      <c r="E23" s="482"/>
      <c r="F23" s="104"/>
      <c r="G23" s="104"/>
      <c r="H23" s="104"/>
      <c r="I23" s="483">
        <v>427.8</v>
      </c>
      <c r="J23" s="483">
        <v>16.753820080499011</v>
      </c>
      <c r="K23" s="96"/>
      <c r="L23" s="484"/>
      <c r="M23" s="485">
        <v>156</v>
      </c>
      <c r="N23" s="485">
        <v>624</v>
      </c>
      <c r="O23" s="485">
        <v>312</v>
      </c>
      <c r="P23" s="486">
        <v>66736.800000000003</v>
      </c>
      <c r="Q23" s="486">
        <v>266947.20000000001</v>
      </c>
      <c r="R23" s="486">
        <v>133473.60000000001</v>
      </c>
      <c r="S23" s="487">
        <v>467157.6</v>
      </c>
      <c r="T23" s="487">
        <v>2613.595932557846</v>
      </c>
      <c r="U23" s="487">
        <v>10454.383730231384</v>
      </c>
      <c r="V23" s="487">
        <v>5227.1918651156921</v>
      </c>
      <c r="W23" s="481">
        <v>18295.17152790492</v>
      </c>
      <c r="X23" s="772" t="s">
        <v>881</v>
      </c>
      <c r="Y23" s="96" t="s">
        <v>1804</v>
      </c>
      <c r="Z23" s="96"/>
      <c r="AA23" s="96"/>
      <c r="AB23" s="96"/>
      <c r="AC23" s="96"/>
      <c r="AD23" s="96"/>
    </row>
    <row r="24" spans="1:30" ht="14.25" customHeight="1">
      <c r="A24" s="768" t="str">
        <f>Budget_C19RM!$AK$2</f>
        <v>201М</v>
      </c>
      <c r="B24" s="769"/>
      <c r="C24" s="768" t="s">
        <v>1804</v>
      </c>
      <c r="D24" s="104" t="s">
        <v>1219</v>
      </c>
      <c r="E24" s="482"/>
      <c r="F24" s="104"/>
      <c r="G24" s="104"/>
      <c r="H24" s="104"/>
      <c r="I24" s="488">
        <v>3565</v>
      </c>
      <c r="J24" s="488">
        <v>139.61516733749176</v>
      </c>
      <c r="K24" s="96"/>
      <c r="L24" s="485"/>
      <c r="M24" s="485">
        <v>156</v>
      </c>
      <c r="N24" s="485">
        <v>624</v>
      </c>
      <c r="O24" s="485">
        <v>312</v>
      </c>
      <c r="P24" s="489">
        <v>556140</v>
      </c>
      <c r="Q24" s="489">
        <v>2224560</v>
      </c>
      <c r="R24" s="489">
        <v>1112280</v>
      </c>
      <c r="S24" s="490">
        <v>3892980</v>
      </c>
      <c r="T24" s="490">
        <v>21779.966104648716</v>
      </c>
      <c r="U24" s="490">
        <v>87119.864418594865</v>
      </c>
      <c r="V24" s="490">
        <v>43559.932209297433</v>
      </c>
      <c r="W24" s="491">
        <v>152459.76273254101</v>
      </c>
      <c r="X24" s="772"/>
      <c r="Y24" s="96"/>
      <c r="Z24" s="96"/>
      <c r="AA24" s="96"/>
      <c r="AB24" s="96"/>
      <c r="AC24" s="96"/>
      <c r="AD24" s="96"/>
    </row>
    <row r="25" spans="1:30" ht="14.25" customHeight="1">
      <c r="A25" s="768" t="str">
        <f>Budget_C19RM!$AK$2</f>
        <v>201М</v>
      </c>
      <c r="B25" s="769"/>
      <c r="C25" s="768" t="s">
        <v>1804</v>
      </c>
      <c r="D25" s="96"/>
      <c r="E25" s="96"/>
      <c r="F25" s="96"/>
      <c r="G25" s="96"/>
      <c r="H25" s="96"/>
      <c r="I25" s="96"/>
      <c r="J25" s="492"/>
      <c r="K25" s="96"/>
      <c r="L25" s="492"/>
      <c r="M25" s="492"/>
      <c r="N25" s="96"/>
      <c r="O25" s="96"/>
      <c r="P25" s="96"/>
      <c r="Q25" s="96"/>
      <c r="R25" s="96"/>
      <c r="S25" s="96"/>
      <c r="T25" s="96"/>
      <c r="U25" s="96"/>
      <c r="V25" s="96"/>
      <c r="W25" s="481"/>
      <c r="X25" s="772"/>
      <c r="Y25" s="96"/>
      <c r="Z25" s="96"/>
      <c r="AA25" s="96"/>
      <c r="AB25" s="96"/>
      <c r="AC25" s="96"/>
      <c r="AD25" s="96"/>
    </row>
    <row r="26" spans="1:30" ht="14.25" customHeight="1">
      <c r="A26" s="768" t="str">
        <f>Budget_C19RM!$AK$2</f>
        <v>201М</v>
      </c>
      <c r="B26" s="769"/>
      <c r="C26" s="768" t="s">
        <v>1804</v>
      </c>
      <c r="D26" s="96"/>
      <c r="E26" s="96"/>
      <c r="F26" s="96"/>
      <c r="G26" s="96"/>
      <c r="H26" s="96"/>
      <c r="I26" s="96"/>
      <c r="J26" s="492"/>
      <c r="K26" s="96"/>
      <c r="L26" s="492" t="s">
        <v>2100</v>
      </c>
      <c r="M26" s="496">
        <v>210</v>
      </c>
      <c r="N26" s="496">
        <v>860</v>
      </c>
      <c r="O26" s="496">
        <v>430</v>
      </c>
      <c r="P26" s="96"/>
      <c r="Q26" s="96"/>
      <c r="R26" s="96"/>
      <c r="S26" s="96"/>
      <c r="T26" s="96"/>
      <c r="U26" s="96"/>
      <c r="V26" s="96"/>
      <c r="W26" s="481"/>
      <c r="X26" s="772"/>
      <c r="Y26" s="96"/>
      <c r="Z26" s="96"/>
      <c r="AA26" s="96"/>
      <c r="AB26" s="96"/>
      <c r="AC26" s="96"/>
      <c r="AD26" s="96"/>
    </row>
    <row r="27" spans="1:30" ht="14.25" customHeight="1">
      <c r="A27" s="768"/>
      <c r="B27" s="96"/>
      <c r="C27" s="768"/>
      <c r="D27" s="96"/>
      <c r="E27" s="96"/>
      <c r="F27" s="96"/>
      <c r="G27" s="96"/>
      <c r="H27" s="96"/>
      <c r="I27" s="96"/>
      <c r="J27" s="492"/>
      <c r="K27" s="96"/>
      <c r="L27" s="492"/>
      <c r="M27" s="492"/>
      <c r="N27" s="96"/>
      <c r="O27" s="96"/>
      <c r="P27" s="96"/>
      <c r="Q27" s="96"/>
      <c r="R27" s="96"/>
      <c r="S27" s="96"/>
      <c r="T27" s="96"/>
      <c r="U27" s="96"/>
      <c r="V27" s="96"/>
      <c r="W27" s="481"/>
      <c r="X27" s="772"/>
      <c r="Y27" s="96"/>
      <c r="Z27" s="96"/>
      <c r="AA27" s="96"/>
      <c r="AB27" s="96"/>
      <c r="AC27" s="96"/>
      <c r="AD27" s="96"/>
    </row>
    <row r="28" spans="1:30" ht="14.25" customHeight="1">
      <c r="A28" s="768"/>
      <c r="B28" s="96"/>
      <c r="C28" s="768"/>
      <c r="D28" s="96"/>
      <c r="E28" s="96"/>
      <c r="F28" s="96"/>
      <c r="G28" s="96"/>
      <c r="H28" s="96"/>
      <c r="I28" s="96"/>
      <c r="J28" s="492"/>
      <c r="K28" s="96"/>
      <c r="L28" s="492"/>
      <c r="M28" s="492"/>
      <c r="N28" s="96"/>
      <c r="O28" s="96"/>
      <c r="P28" s="96"/>
      <c r="Q28" s="96"/>
      <c r="R28" s="96"/>
      <c r="S28" s="96"/>
      <c r="T28" s="96"/>
      <c r="U28" s="96"/>
      <c r="V28" s="96"/>
      <c r="W28" s="481"/>
      <c r="X28" s="772"/>
      <c r="Y28" s="96"/>
      <c r="Z28" s="96"/>
      <c r="AA28" s="96"/>
      <c r="AB28" s="96"/>
      <c r="AC28" s="96"/>
      <c r="AD28" s="96"/>
    </row>
    <row r="29" spans="1:30" ht="14.25" customHeight="1">
      <c r="A29" s="768" t="str">
        <f>Budget_C19RM!$AK$10</f>
        <v>203М</v>
      </c>
      <c r="B29" s="769"/>
      <c r="C29" s="768" t="s">
        <v>1830</v>
      </c>
      <c r="D29" s="474" t="s">
        <v>643</v>
      </c>
      <c r="E29" s="475"/>
      <c r="F29" s="475"/>
      <c r="G29" s="475"/>
      <c r="H29" s="475"/>
      <c r="I29" s="475"/>
      <c r="J29" s="476"/>
      <c r="K29" s="769"/>
      <c r="L29" s="770"/>
      <c r="M29" s="770"/>
      <c r="N29" s="769"/>
      <c r="O29" s="769"/>
      <c r="P29" s="769"/>
      <c r="Q29" s="769"/>
      <c r="R29" s="769"/>
      <c r="S29" s="769"/>
      <c r="T29" s="769"/>
      <c r="U29" s="769"/>
      <c r="V29" s="769"/>
      <c r="W29" s="771"/>
      <c r="X29" s="769"/>
      <c r="Y29" s="769"/>
      <c r="Z29" s="769"/>
      <c r="AA29" s="769"/>
      <c r="AB29" s="769"/>
      <c r="AC29" s="769"/>
      <c r="AD29" s="769"/>
    </row>
    <row r="30" spans="1:30" ht="14.25" customHeight="1">
      <c r="A30" s="768" t="str">
        <f>Budget_C19RM!$AK$10</f>
        <v>203М</v>
      </c>
      <c r="B30" s="769"/>
      <c r="C30" s="768" t="s">
        <v>1830</v>
      </c>
      <c r="D30" s="477" t="s">
        <v>2075</v>
      </c>
      <c r="E30" s="478" t="s">
        <v>394</v>
      </c>
      <c r="F30" s="478" t="s">
        <v>2076</v>
      </c>
      <c r="G30" s="478" t="s">
        <v>2077</v>
      </c>
      <c r="H30" s="478" t="s">
        <v>2078</v>
      </c>
      <c r="I30" s="478" t="s">
        <v>2079</v>
      </c>
      <c r="J30" s="479" t="s">
        <v>2080</v>
      </c>
      <c r="K30" s="96"/>
      <c r="L30" s="480"/>
      <c r="M30" s="480"/>
      <c r="N30" s="96"/>
      <c r="O30" s="96"/>
      <c r="P30" s="96"/>
      <c r="Q30" s="96"/>
      <c r="R30" s="96"/>
      <c r="S30" s="96"/>
      <c r="T30" s="96"/>
      <c r="U30" s="96"/>
      <c r="V30" s="96"/>
      <c r="W30" s="481"/>
      <c r="X30" s="772"/>
      <c r="Y30" s="96"/>
      <c r="Z30" s="96"/>
      <c r="AA30" s="96"/>
      <c r="AB30" s="96"/>
      <c r="AC30" s="96"/>
      <c r="AD30" s="96"/>
    </row>
    <row r="31" spans="1:30" ht="14.25" customHeight="1">
      <c r="A31" s="768" t="str">
        <f>Budget_C19RM!$AK$10</f>
        <v>203М</v>
      </c>
      <c r="B31" s="769"/>
      <c r="C31" s="768" t="s">
        <v>1830</v>
      </c>
      <c r="D31" s="104" t="s">
        <v>2101</v>
      </c>
      <c r="E31" s="482" t="s">
        <v>2082</v>
      </c>
      <c r="F31" s="104">
        <v>625</v>
      </c>
      <c r="G31" s="104">
        <v>1</v>
      </c>
      <c r="H31" s="104">
        <v>1</v>
      </c>
      <c r="I31" s="483">
        <v>625</v>
      </c>
      <c r="J31" s="483">
        <v>24.476712366320434</v>
      </c>
      <c r="K31" s="96"/>
      <c r="L31" s="484"/>
      <c r="M31" s="485">
        <v>1536</v>
      </c>
      <c r="N31" s="485">
        <v>5000</v>
      </c>
      <c r="O31" s="485">
        <v>2500</v>
      </c>
      <c r="P31" s="486">
        <v>960000</v>
      </c>
      <c r="Q31" s="486">
        <v>3125000</v>
      </c>
      <c r="R31" s="486">
        <v>1562500</v>
      </c>
      <c r="S31" s="487">
        <v>5647500</v>
      </c>
      <c r="T31" s="487">
        <v>37596.230194668191</v>
      </c>
      <c r="U31" s="487">
        <v>122383.56183160217</v>
      </c>
      <c r="V31" s="487">
        <v>61191.780915801086</v>
      </c>
      <c r="W31" s="481">
        <v>221171.57294207145</v>
      </c>
      <c r="X31" s="772" t="s">
        <v>989</v>
      </c>
      <c r="Y31" s="96" t="s">
        <v>1830</v>
      </c>
      <c r="Z31" s="96"/>
      <c r="AA31" s="96"/>
      <c r="AB31" s="96"/>
      <c r="AC31" s="96"/>
      <c r="AD31" s="96"/>
    </row>
    <row r="32" spans="1:30" ht="14.25" customHeight="1">
      <c r="A32" s="768" t="str">
        <f>Budget_C19RM!$AK$10</f>
        <v>203М</v>
      </c>
      <c r="B32" s="769"/>
      <c r="C32" s="768" t="s">
        <v>1830</v>
      </c>
      <c r="D32" s="121" t="s">
        <v>959</v>
      </c>
      <c r="E32" s="482"/>
      <c r="F32" s="104"/>
      <c r="G32" s="104"/>
      <c r="H32" s="104"/>
      <c r="I32" s="483">
        <v>62.5</v>
      </c>
      <c r="J32" s="483">
        <v>2.4476712366320434</v>
      </c>
      <c r="K32" s="96"/>
      <c r="L32" s="484"/>
      <c r="M32" s="485">
        <v>1536</v>
      </c>
      <c r="N32" s="485">
        <v>5000</v>
      </c>
      <c r="O32" s="485">
        <v>2500</v>
      </c>
      <c r="P32" s="486">
        <v>96000</v>
      </c>
      <c r="Q32" s="486">
        <v>312500</v>
      </c>
      <c r="R32" s="486">
        <v>156250</v>
      </c>
      <c r="S32" s="487">
        <v>564750</v>
      </c>
      <c r="T32" s="487">
        <v>3759.6230194668187</v>
      </c>
      <c r="U32" s="487">
        <v>12238.356183160218</v>
      </c>
      <c r="V32" s="487">
        <v>6119.1780915801091</v>
      </c>
      <c r="W32" s="481">
        <v>22117.157294207143</v>
      </c>
      <c r="X32" s="772" t="s">
        <v>875</v>
      </c>
      <c r="Y32" s="96" t="s">
        <v>1830</v>
      </c>
      <c r="Z32" s="96"/>
      <c r="AA32" s="96"/>
      <c r="AB32" s="96"/>
      <c r="AC32" s="96"/>
      <c r="AD32" s="96"/>
    </row>
    <row r="33" spans="1:30" ht="14.25" customHeight="1">
      <c r="A33" s="768" t="str">
        <f>Budget_C19RM!$AK$10</f>
        <v>203М</v>
      </c>
      <c r="B33" s="769"/>
      <c r="C33" s="768" t="s">
        <v>1830</v>
      </c>
      <c r="D33" s="121" t="s">
        <v>962</v>
      </c>
      <c r="E33" s="482"/>
      <c r="F33" s="104"/>
      <c r="G33" s="104"/>
      <c r="H33" s="104"/>
      <c r="I33" s="483">
        <v>93.75</v>
      </c>
      <c r="J33" s="483">
        <v>3.6715068549480652</v>
      </c>
      <c r="K33" s="96"/>
      <c r="L33" s="484"/>
      <c r="M33" s="485">
        <v>1536</v>
      </c>
      <c r="N33" s="485">
        <v>5000</v>
      </c>
      <c r="O33" s="485">
        <v>2500</v>
      </c>
      <c r="P33" s="486">
        <v>144000</v>
      </c>
      <c r="Q33" s="486">
        <v>468750</v>
      </c>
      <c r="R33" s="486">
        <v>234375</v>
      </c>
      <c r="S33" s="487">
        <v>847125</v>
      </c>
      <c r="T33" s="487">
        <v>5639.4345292002281</v>
      </c>
      <c r="U33" s="487">
        <v>18357.534274740327</v>
      </c>
      <c r="V33" s="487">
        <v>9178.7671373701633</v>
      </c>
      <c r="W33" s="481">
        <v>33175.735941310719</v>
      </c>
      <c r="X33" s="772" t="s">
        <v>881</v>
      </c>
      <c r="Y33" s="96" t="s">
        <v>1830</v>
      </c>
      <c r="Z33" s="96"/>
      <c r="AA33" s="96"/>
      <c r="AB33" s="96"/>
      <c r="AC33" s="96"/>
      <c r="AD33" s="96"/>
    </row>
    <row r="34" spans="1:30" ht="14.25" customHeight="1">
      <c r="A34" s="768" t="str">
        <f>Budget_C19RM!$AK$10</f>
        <v>203М</v>
      </c>
      <c r="B34" s="769"/>
      <c r="C34" s="768" t="s">
        <v>1830</v>
      </c>
      <c r="D34" s="104" t="s">
        <v>1047</v>
      </c>
      <c r="E34" s="482"/>
      <c r="F34" s="104"/>
      <c r="G34" s="104"/>
      <c r="H34" s="104"/>
      <c r="I34" s="488">
        <v>781.25</v>
      </c>
      <c r="J34" s="488">
        <v>30.595890457900545</v>
      </c>
      <c r="K34" s="96"/>
      <c r="L34" s="485"/>
      <c r="M34" s="485">
        <v>1536</v>
      </c>
      <c r="N34" s="485">
        <v>5000</v>
      </c>
      <c r="O34" s="485">
        <v>2500</v>
      </c>
      <c r="P34" s="489">
        <v>1200000</v>
      </c>
      <c r="Q34" s="489">
        <v>3906250</v>
      </c>
      <c r="R34" s="489">
        <v>1953125</v>
      </c>
      <c r="S34" s="490">
        <v>7059375</v>
      </c>
      <c r="T34" s="490">
        <v>46995.287743335233</v>
      </c>
      <c r="U34" s="490">
        <v>152979.45228950272</v>
      </c>
      <c r="V34" s="490">
        <v>76489.726144751359</v>
      </c>
      <c r="W34" s="491">
        <v>276464.46617758932</v>
      </c>
      <c r="X34" s="772"/>
      <c r="Y34" s="96"/>
      <c r="Z34" s="96"/>
      <c r="AA34" s="96"/>
      <c r="AB34" s="96"/>
      <c r="AC34" s="96"/>
      <c r="AD34" s="96"/>
    </row>
    <row r="35" spans="1:30" ht="14.25" customHeight="1">
      <c r="A35" s="768"/>
      <c r="B35" s="96"/>
      <c r="C35" s="768"/>
      <c r="D35" s="96"/>
      <c r="E35" s="96"/>
      <c r="F35" s="96"/>
      <c r="G35" s="96"/>
      <c r="H35" s="96"/>
      <c r="I35" s="96"/>
      <c r="J35" s="96"/>
      <c r="K35" s="96"/>
      <c r="L35" s="96"/>
      <c r="M35" s="96"/>
      <c r="N35" s="96"/>
      <c r="O35" s="96"/>
      <c r="P35" s="96"/>
      <c r="Q35" s="96"/>
      <c r="R35" s="96"/>
      <c r="S35" s="96"/>
      <c r="T35" s="96"/>
      <c r="U35" s="96"/>
      <c r="V35" s="96"/>
      <c r="W35" s="481"/>
      <c r="X35" s="772"/>
      <c r="Y35" s="96"/>
      <c r="Z35" s="96"/>
      <c r="AA35" s="96"/>
      <c r="AB35" s="96"/>
      <c r="AC35" s="96"/>
      <c r="AD35" s="96"/>
    </row>
    <row r="36" spans="1:30" ht="14.25" customHeight="1">
      <c r="A36" s="768"/>
      <c r="B36" s="96"/>
      <c r="C36" s="768"/>
      <c r="D36" s="96"/>
      <c r="E36" s="96"/>
      <c r="F36" s="96"/>
      <c r="G36" s="96"/>
      <c r="H36" s="96"/>
      <c r="I36" s="96"/>
      <c r="J36" s="96"/>
      <c r="K36" s="96"/>
      <c r="L36" s="96"/>
      <c r="M36" s="96"/>
      <c r="N36" s="96"/>
      <c r="O36" s="96"/>
      <c r="P36" s="96"/>
      <c r="Q36" s="96"/>
      <c r="R36" s="96"/>
      <c r="S36" s="96"/>
      <c r="T36" s="96"/>
      <c r="U36" s="96"/>
      <c r="V36" s="96"/>
      <c r="W36" s="481"/>
      <c r="X36" s="772"/>
      <c r="Y36" s="96"/>
      <c r="Z36" s="96"/>
      <c r="AA36" s="96"/>
      <c r="AB36" s="96"/>
      <c r="AC36" s="96"/>
      <c r="AD36" s="96"/>
    </row>
    <row r="37" spans="1:30" ht="14.25" customHeight="1">
      <c r="A37" s="780" t="str">
        <f>Budget_C19RM!$AK$57</f>
        <v>204М</v>
      </c>
      <c r="B37" s="781"/>
      <c r="C37" s="768" t="s">
        <v>1972</v>
      </c>
      <c r="D37" s="474" t="s">
        <v>648</v>
      </c>
      <c r="E37" s="475"/>
      <c r="F37" s="475"/>
      <c r="G37" s="475"/>
      <c r="H37" s="475"/>
      <c r="I37" s="475"/>
      <c r="J37" s="476"/>
      <c r="K37" s="769"/>
      <c r="L37" s="770"/>
      <c r="M37" s="770"/>
      <c r="N37" s="769"/>
      <c r="O37" s="769"/>
      <c r="P37" s="769"/>
      <c r="Q37" s="769"/>
      <c r="R37" s="769"/>
      <c r="S37" s="769"/>
      <c r="T37" s="769"/>
      <c r="U37" s="769"/>
      <c r="V37" s="769"/>
      <c r="W37" s="771"/>
      <c r="X37" s="769"/>
      <c r="Y37" s="769"/>
      <c r="Z37" s="769"/>
      <c r="AA37" s="769"/>
      <c r="AB37" s="769"/>
      <c r="AC37" s="769"/>
      <c r="AD37" s="769"/>
    </row>
    <row r="38" spans="1:30" ht="14.25" customHeight="1">
      <c r="A38" s="780" t="str">
        <f>Budget_C19RM!$AK$57</f>
        <v>204М</v>
      </c>
      <c r="B38" s="781"/>
      <c r="C38" s="768" t="s">
        <v>1972</v>
      </c>
      <c r="D38" s="477" t="s">
        <v>2075</v>
      </c>
      <c r="E38" s="478" t="s">
        <v>394</v>
      </c>
      <c r="F38" s="478" t="s">
        <v>2076</v>
      </c>
      <c r="G38" s="478" t="s">
        <v>2077</v>
      </c>
      <c r="H38" s="478" t="s">
        <v>2078</v>
      </c>
      <c r="I38" s="478" t="s">
        <v>2079</v>
      </c>
      <c r="J38" s="479" t="s">
        <v>2080</v>
      </c>
      <c r="K38" s="96"/>
      <c r="L38" s="480"/>
      <c r="M38" s="480"/>
      <c r="N38" s="96"/>
      <c r="O38" s="96"/>
      <c r="P38" s="96"/>
      <c r="Q38" s="96"/>
      <c r="R38" s="96"/>
      <c r="S38" s="96"/>
      <c r="T38" s="96"/>
      <c r="U38" s="96"/>
      <c r="V38" s="96"/>
      <c r="W38" s="481"/>
      <c r="X38" s="772"/>
      <c r="Y38" s="96"/>
      <c r="Z38" s="96"/>
      <c r="AA38" s="96"/>
      <c r="AB38" s="96"/>
      <c r="AC38" s="96"/>
      <c r="AD38" s="96"/>
    </row>
    <row r="39" spans="1:30" ht="14.25" customHeight="1">
      <c r="A39" s="780" t="str">
        <f>Budget_C19RM!$AK$57</f>
        <v>204М</v>
      </c>
      <c r="B39" s="781"/>
      <c r="C39" s="768" t="s">
        <v>1972</v>
      </c>
      <c r="D39" s="104" t="s">
        <v>2102</v>
      </c>
      <c r="E39" s="482" t="s">
        <v>2086</v>
      </c>
      <c r="F39" s="104">
        <v>400</v>
      </c>
      <c r="G39" s="104">
        <v>1</v>
      </c>
      <c r="H39" s="104">
        <v>1</v>
      </c>
      <c r="I39" s="483">
        <v>400</v>
      </c>
      <c r="J39" s="483">
        <v>15.665095914445079</v>
      </c>
      <c r="K39" s="497" t="s">
        <v>2103</v>
      </c>
      <c r="L39" s="484"/>
      <c r="M39" s="485">
        <v>170</v>
      </c>
      <c r="N39" s="485">
        <v>680</v>
      </c>
      <c r="O39" s="485">
        <v>680</v>
      </c>
      <c r="P39" s="486">
        <v>68000</v>
      </c>
      <c r="Q39" s="486">
        <v>272000</v>
      </c>
      <c r="R39" s="486">
        <v>272000</v>
      </c>
      <c r="S39" s="487">
        <v>612000</v>
      </c>
      <c r="T39" s="487">
        <v>2663.0663054556635</v>
      </c>
      <c r="U39" s="487">
        <v>10652.265221822654</v>
      </c>
      <c r="V39" s="487">
        <v>10652.265221822654</v>
      </c>
      <c r="W39" s="481">
        <v>23967.596749100969</v>
      </c>
      <c r="X39" s="772" t="s">
        <v>977</v>
      </c>
      <c r="Y39" s="96" t="s">
        <v>1972</v>
      </c>
      <c r="Z39" s="96"/>
      <c r="AA39" s="96"/>
      <c r="AB39" s="96"/>
      <c r="AC39" s="96"/>
      <c r="AD39" s="96"/>
    </row>
    <row r="40" spans="1:30" ht="14.25" customHeight="1">
      <c r="A40" s="780" t="str">
        <f>Budget_C19RM!$AK$57</f>
        <v>204М</v>
      </c>
      <c r="B40" s="781"/>
      <c r="C40" s="768" t="s">
        <v>1972</v>
      </c>
      <c r="D40" s="104" t="s">
        <v>2087</v>
      </c>
      <c r="E40" s="482" t="s">
        <v>2086</v>
      </c>
      <c r="F40" s="104">
        <v>80</v>
      </c>
      <c r="G40" s="104">
        <v>1</v>
      </c>
      <c r="H40" s="104">
        <v>1</v>
      </c>
      <c r="I40" s="483">
        <v>80</v>
      </c>
      <c r="J40" s="483">
        <v>3.1330191828890155</v>
      </c>
      <c r="K40" s="96"/>
      <c r="L40" s="484"/>
      <c r="M40" s="485">
        <v>170</v>
      </c>
      <c r="N40" s="485">
        <v>680</v>
      </c>
      <c r="O40" s="485">
        <v>680</v>
      </c>
      <c r="P40" s="486">
        <v>13600</v>
      </c>
      <c r="Q40" s="486">
        <v>54400</v>
      </c>
      <c r="R40" s="486">
        <v>54400</v>
      </c>
      <c r="S40" s="487">
        <v>122400</v>
      </c>
      <c r="T40" s="487">
        <v>532.6132610911327</v>
      </c>
      <c r="U40" s="487">
        <v>2130.4530443645308</v>
      </c>
      <c r="V40" s="487">
        <v>2130.4530443645308</v>
      </c>
      <c r="W40" s="481">
        <v>4793.5193498201943</v>
      </c>
      <c r="X40" s="772" t="s">
        <v>977</v>
      </c>
      <c r="Y40" s="96" t="s">
        <v>1972</v>
      </c>
      <c r="Z40" s="96"/>
      <c r="AA40" s="96"/>
      <c r="AB40" s="96"/>
      <c r="AC40" s="96"/>
      <c r="AD40" s="96"/>
    </row>
    <row r="41" spans="1:30" ht="14.25" customHeight="1">
      <c r="A41" s="780" t="str">
        <f>Budget_C19RM!$AK$57</f>
        <v>204М</v>
      </c>
      <c r="B41" s="781"/>
      <c r="C41" s="768" t="s">
        <v>1972</v>
      </c>
      <c r="D41" s="104" t="s">
        <v>2104</v>
      </c>
      <c r="E41" s="482" t="s">
        <v>2086</v>
      </c>
      <c r="F41" s="104">
        <v>2413</v>
      </c>
      <c r="G41" s="104">
        <v>1</v>
      </c>
      <c r="H41" s="104">
        <v>1</v>
      </c>
      <c r="I41" s="483">
        <v>2413</v>
      </c>
      <c r="J41" s="483">
        <v>94.49969110388993</v>
      </c>
      <c r="K41" s="96"/>
      <c r="L41" s="484"/>
      <c r="M41" s="485">
        <v>170</v>
      </c>
      <c r="N41" s="485">
        <v>680</v>
      </c>
      <c r="O41" s="485">
        <v>680</v>
      </c>
      <c r="P41" s="486">
        <v>410210</v>
      </c>
      <c r="Q41" s="486">
        <v>1640840</v>
      </c>
      <c r="R41" s="486">
        <v>1640840</v>
      </c>
      <c r="S41" s="487">
        <v>3691890</v>
      </c>
      <c r="T41" s="487">
        <v>16064.947487661289</v>
      </c>
      <c r="U41" s="487">
        <v>64259.789950645158</v>
      </c>
      <c r="V41" s="487">
        <v>64259.789950645158</v>
      </c>
      <c r="W41" s="481">
        <v>144584.5273889516</v>
      </c>
      <c r="X41" s="349" t="s">
        <v>877</v>
      </c>
      <c r="Y41" s="96" t="s">
        <v>1972</v>
      </c>
      <c r="Z41" s="96" t="s">
        <v>2090</v>
      </c>
      <c r="AA41" s="96"/>
      <c r="AB41" s="96"/>
      <c r="AC41" s="96"/>
      <c r="AD41" s="96"/>
    </row>
    <row r="42" spans="1:30" ht="14.25" customHeight="1">
      <c r="A42" s="780" t="str">
        <f>Budget_C19RM!$AK$57</f>
        <v>204М</v>
      </c>
      <c r="B42" s="781"/>
      <c r="C42" s="768" t="s">
        <v>1972</v>
      </c>
      <c r="D42" s="493" t="s">
        <v>2105</v>
      </c>
      <c r="E42" s="494" t="s">
        <v>2086</v>
      </c>
      <c r="F42" s="493"/>
      <c r="G42" s="493">
        <v>1</v>
      </c>
      <c r="H42" s="493">
        <v>10</v>
      </c>
      <c r="I42" s="495">
        <v>0</v>
      </c>
      <c r="J42" s="495">
        <v>0</v>
      </c>
      <c r="K42" s="774"/>
      <c r="L42" s="775"/>
      <c r="M42" s="776">
        <v>170</v>
      </c>
      <c r="N42" s="776">
        <v>680</v>
      </c>
      <c r="O42" s="776">
        <v>680</v>
      </c>
      <c r="P42" s="777"/>
      <c r="Q42" s="777"/>
      <c r="R42" s="777"/>
      <c r="S42" s="778"/>
      <c r="T42" s="778"/>
      <c r="U42" s="778"/>
      <c r="V42" s="778"/>
      <c r="W42" s="779"/>
      <c r="X42" s="774" t="s">
        <v>954</v>
      </c>
      <c r="Y42" s="774" t="s">
        <v>1972</v>
      </c>
      <c r="Z42" s="774" t="s">
        <v>2092</v>
      </c>
      <c r="AA42" s="774"/>
      <c r="AB42" s="774"/>
      <c r="AC42" s="774"/>
      <c r="AD42" s="774"/>
    </row>
    <row r="43" spans="1:30" ht="14.25" customHeight="1">
      <c r="A43" s="780" t="str">
        <f>Budget_C19RM!$AK$57</f>
        <v>204М</v>
      </c>
      <c r="B43" s="781"/>
      <c r="C43" s="768" t="s">
        <v>1972</v>
      </c>
      <c r="D43" s="493" t="s">
        <v>2094</v>
      </c>
      <c r="E43" s="494" t="s">
        <v>2086</v>
      </c>
      <c r="F43" s="493"/>
      <c r="G43" s="493">
        <v>1</v>
      </c>
      <c r="H43" s="493">
        <v>5</v>
      </c>
      <c r="I43" s="495">
        <v>0</v>
      </c>
      <c r="J43" s="495">
        <v>0</v>
      </c>
      <c r="K43" s="774"/>
      <c r="L43" s="775"/>
      <c r="M43" s="776">
        <v>170</v>
      </c>
      <c r="N43" s="776">
        <v>680</v>
      </c>
      <c r="O43" s="776">
        <v>680</v>
      </c>
      <c r="P43" s="777"/>
      <c r="Q43" s="777"/>
      <c r="R43" s="777"/>
      <c r="S43" s="778"/>
      <c r="T43" s="778"/>
      <c r="U43" s="778"/>
      <c r="V43" s="778"/>
      <c r="W43" s="779"/>
      <c r="X43" s="774" t="s">
        <v>2095</v>
      </c>
      <c r="Y43" s="774" t="s">
        <v>1972</v>
      </c>
      <c r="Z43" s="774" t="s">
        <v>2092</v>
      </c>
      <c r="AA43" s="774"/>
      <c r="AB43" s="774"/>
      <c r="AC43" s="774"/>
      <c r="AD43" s="774"/>
    </row>
    <row r="44" spans="1:30" ht="14.25" customHeight="1">
      <c r="A44" s="780" t="str">
        <f>Budget_C19RM!$AK$57</f>
        <v>204М</v>
      </c>
      <c r="B44" s="781"/>
      <c r="C44" s="768" t="s">
        <v>1972</v>
      </c>
      <c r="D44" s="104" t="s">
        <v>2106</v>
      </c>
      <c r="E44" s="482" t="s">
        <v>2086</v>
      </c>
      <c r="F44" s="104">
        <v>80</v>
      </c>
      <c r="G44" s="104">
        <v>1</v>
      </c>
      <c r="H44" s="104">
        <v>1</v>
      </c>
      <c r="I44" s="483">
        <v>80</v>
      </c>
      <c r="J44" s="483">
        <v>3.1330191828890155</v>
      </c>
      <c r="K44" s="96"/>
      <c r="L44" s="484"/>
      <c r="M44" s="485">
        <v>170</v>
      </c>
      <c r="N44" s="485">
        <v>680</v>
      </c>
      <c r="O44" s="485">
        <v>680</v>
      </c>
      <c r="P44" s="486">
        <v>13600</v>
      </c>
      <c r="Q44" s="486">
        <v>54400</v>
      </c>
      <c r="R44" s="486">
        <v>54400</v>
      </c>
      <c r="S44" s="487">
        <v>122400</v>
      </c>
      <c r="T44" s="487">
        <v>532.6132610911327</v>
      </c>
      <c r="U44" s="487">
        <v>2130.4530443645308</v>
      </c>
      <c r="V44" s="487">
        <v>2130.4530443645308</v>
      </c>
      <c r="W44" s="481">
        <v>4793.5193498201943</v>
      </c>
      <c r="X44" s="772" t="s">
        <v>977</v>
      </c>
      <c r="Y44" s="96" t="s">
        <v>1972</v>
      </c>
      <c r="Z44" s="96"/>
      <c r="AA44" s="96"/>
      <c r="AB44" s="96"/>
      <c r="AC44" s="96"/>
      <c r="AD44" s="96"/>
    </row>
    <row r="45" spans="1:30" ht="14.25" customHeight="1">
      <c r="A45" s="780" t="str">
        <f>Budget_C19RM!$AK$57</f>
        <v>204М</v>
      </c>
      <c r="B45" s="781"/>
      <c r="C45" s="768" t="s">
        <v>1972</v>
      </c>
      <c r="D45" s="104" t="s">
        <v>2098</v>
      </c>
      <c r="E45" s="482" t="s">
        <v>2086</v>
      </c>
      <c r="F45" s="104">
        <v>244</v>
      </c>
      <c r="G45" s="104">
        <v>1</v>
      </c>
      <c r="H45" s="104">
        <v>1</v>
      </c>
      <c r="I45" s="483">
        <v>244</v>
      </c>
      <c r="J45" s="483">
        <v>9.5557085078114969</v>
      </c>
      <c r="K45" s="96"/>
      <c r="L45" s="484"/>
      <c r="M45" s="485">
        <v>170</v>
      </c>
      <c r="N45" s="485">
        <v>680</v>
      </c>
      <c r="O45" s="485">
        <v>680</v>
      </c>
      <c r="P45" s="486">
        <v>41480</v>
      </c>
      <c r="Q45" s="486">
        <v>165920</v>
      </c>
      <c r="R45" s="486">
        <v>165920</v>
      </c>
      <c r="S45" s="487">
        <v>373320</v>
      </c>
      <c r="T45" s="487">
        <v>1624.4704463279547</v>
      </c>
      <c r="U45" s="487">
        <v>6497.8817853118189</v>
      </c>
      <c r="V45" s="487">
        <v>6497.8817853118189</v>
      </c>
      <c r="W45" s="481">
        <v>14620.234016951592</v>
      </c>
      <c r="X45" s="772" t="s">
        <v>989</v>
      </c>
      <c r="Y45" s="96" t="s">
        <v>1972</v>
      </c>
      <c r="Z45" s="96" t="s">
        <v>2099</v>
      </c>
      <c r="AA45" s="96"/>
      <c r="AB45" s="96"/>
      <c r="AC45" s="96"/>
      <c r="AD45" s="96"/>
    </row>
    <row r="46" spans="1:30" ht="14.25" customHeight="1">
      <c r="A46" s="780" t="str">
        <f>Budget_C19RM!$AK$57</f>
        <v>204М</v>
      </c>
      <c r="B46" s="781"/>
      <c r="C46" s="768" t="s">
        <v>1972</v>
      </c>
      <c r="D46" s="121" t="s">
        <v>959</v>
      </c>
      <c r="E46" s="482"/>
      <c r="F46" s="104"/>
      <c r="G46" s="104"/>
      <c r="H46" s="104"/>
      <c r="I46" s="483">
        <v>321.70000000000005</v>
      </c>
      <c r="J46" s="483">
        <v>12.598653389192455</v>
      </c>
      <c r="K46" s="96"/>
      <c r="L46" s="484"/>
      <c r="M46" s="485">
        <v>170</v>
      </c>
      <c r="N46" s="485">
        <v>680</v>
      </c>
      <c r="O46" s="485">
        <v>680</v>
      </c>
      <c r="P46" s="486">
        <v>54689.000000000007</v>
      </c>
      <c r="Q46" s="486">
        <v>218756.00000000003</v>
      </c>
      <c r="R46" s="486">
        <v>218756.00000000003</v>
      </c>
      <c r="S46" s="487">
        <v>492201.00000000012</v>
      </c>
      <c r="T46" s="487">
        <v>2141.7710761627177</v>
      </c>
      <c r="U46" s="487">
        <v>8567.0843046508708</v>
      </c>
      <c r="V46" s="487">
        <v>8567.0843046508708</v>
      </c>
      <c r="W46" s="481">
        <v>19275.939685464458</v>
      </c>
      <c r="X46" s="772" t="s">
        <v>875</v>
      </c>
      <c r="Y46" s="96" t="s">
        <v>1972</v>
      </c>
      <c r="Z46" s="96"/>
      <c r="AA46" s="96"/>
      <c r="AB46" s="96"/>
      <c r="AC46" s="96"/>
      <c r="AD46" s="96"/>
    </row>
    <row r="47" spans="1:30" ht="14.25" customHeight="1">
      <c r="A47" s="780" t="str">
        <f>Budget_C19RM!$AK$57</f>
        <v>204М</v>
      </c>
      <c r="B47" s="781"/>
      <c r="C47" s="768" t="s">
        <v>1972</v>
      </c>
      <c r="D47" s="121" t="s">
        <v>962</v>
      </c>
      <c r="E47" s="482"/>
      <c r="F47" s="104"/>
      <c r="G47" s="104"/>
      <c r="H47" s="104"/>
      <c r="I47" s="483">
        <v>482.54999999999995</v>
      </c>
      <c r="J47" s="483">
        <v>18.897980083788681</v>
      </c>
      <c r="K47" s="96"/>
      <c r="L47" s="484"/>
      <c r="M47" s="485">
        <v>170</v>
      </c>
      <c r="N47" s="485">
        <v>680</v>
      </c>
      <c r="O47" s="485">
        <v>680</v>
      </c>
      <c r="P47" s="486">
        <v>82033.499999999985</v>
      </c>
      <c r="Q47" s="486">
        <v>328133.99999999994</v>
      </c>
      <c r="R47" s="486">
        <v>328133.99999999994</v>
      </c>
      <c r="S47" s="487">
        <v>738301.49999999988</v>
      </c>
      <c r="T47" s="487">
        <v>3212.6566142440752</v>
      </c>
      <c r="U47" s="487">
        <v>12850.626456976301</v>
      </c>
      <c r="V47" s="487">
        <v>12850.626456976301</v>
      </c>
      <c r="W47" s="481">
        <v>28913.909528196677</v>
      </c>
      <c r="X47" s="772" t="s">
        <v>881</v>
      </c>
      <c r="Y47" s="96" t="s">
        <v>1972</v>
      </c>
      <c r="Z47" s="96"/>
      <c r="AA47" s="96"/>
      <c r="AB47" s="96"/>
      <c r="AC47" s="96"/>
      <c r="AD47" s="96"/>
    </row>
    <row r="48" spans="1:30" ht="14.25" customHeight="1">
      <c r="A48" s="780" t="str">
        <f>Budget_C19RM!$AK$57</f>
        <v>204М</v>
      </c>
      <c r="B48" s="781"/>
      <c r="C48" s="768" t="s">
        <v>1972</v>
      </c>
      <c r="D48" s="104" t="s">
        <v>1219</v>
      </c>
      <c r="E48" s="482"/>
      <c r="F48" s="104"/>
      <c r="G48" s="104"/>
      <c r="H48" s="104"/>
      <c r="I48" s="488">
        <v>4021.25</v>
      </c>
      <c r="J48" s="488">
        <v>157.48316736490568</v>
      </c>
      <c r="K48" s="96"/>
      <c r="L48" s="485"/>
      <c r="M48" s="485">
        <v>170</v>
      </c>
      <c r="N48" s="485">
        <v>680</v>
      </c>
      <c r="O48" s="485">
        <v>680</v>
      </c>
      <c r="P48" s="489">
        <v>683612.5</v>
      </c>
      <c r="Q48" s="489">
        <v>2734450</v>
      </c>
      <c r="R48" s="489">
        <v>2734450</v>
      </c>
      <c r="S48" s="490">
        <v>6152512.5</v>
      </c>
      <c r="T48" s="490">
        <v>26772.138452033967</v>
      </c>
      <c r="U48" s="490">
        <v>107088.55380813587</v>
      </c>
      <c r="V48" s="490">
        <v>107088.55380813587</v>
      </c>
      <c r="W48" s="491">
        <v>240949.24606830569</v>
      </c>
      <c r="X48" s="772"/>
      <c r="Y48" s="96"/>
      <c r="Z48" s="96"/>
      <c r="AA48" s="96"/>
      <c r="AB48" s="96"/>
      <c r="AC48" s="96"/>
      <c r="AD48" s="96"/>
    </row>
    <row r="49" spans="1:30" ht="14.25" customHeight="1">
      <c r="A49" s="768"/>
      <c r="B49" s="4"/>
      <c r="C49" s="768"/>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3.5" customHeight="1">
      <c r="A50" s="768" t="str">
        <f>Напрями!$A$73</f>
        <v>215M</v>
      </c>
      <c r="B50" s="781"/>
      <c r="C50" s="768" t="s">
        <v>2013</v>
      </c>
      <c r="D50" s="498" t="s">
        <v>966</v>
      </c>
      <c r="E50" s="499" t="s">
        <v>967</v>
      </c>
      <c r="F50" s="499" t="s">
        <v>968</v>
      </c>
      <c r="G50" s="499" t="s">
        <v>969</v>
      </c>
      <c r="H50" s="499" t="s">
        <v>970</v>
      </c>
      <c r="I50" s="499" t="s">
        <v>2107</v>
      </c>
      <c r="J50" s="499" t="s">
        <v>2108</v>
      </c>
      <c r="K50" s="500" t="s">
        <v>2109</v>
      </c>
      <c r="L50" s="500"/>
      <c r="M50" s="500"/>
      <c r="N50" s="500"/>
      <c r="O50" s="500"/>
      <c r="P50" s="499" t="s">
        <v>2110</v>
      </c>
      <c r="Q50" s="499" t="s">
        <v>2111</v>
      </c>
      <c r="R50" s="499" t="s">
        <v>2112</v>
      </c>
      <c r="S50" s="499" t="s">
        <v>1105</v>
      </c>
      <c r="T50" s="499" t="s">
        <v>2113</v>
      </c>
      <c r="U50" s="499" t="s">
        <v>2114</v>
      </c>
      <c r="V50" s="499" t="s">
        <v>2115</v>
      </c>
      <c r="W50" s="499" t="s">
        <v>2116</v>
      </c>
      <c r="X50" s="498" t="s">
        <v>934</v>
      </c>
      <c r="Y50" s="500" t="s">
        <v>2117</v>
      </c>
      <c r="Z50" s="500" t="s">
        <v>2118</v>
      </c>
      <c r="AA50" s="500"/>
      <c r="AB50" s="500"/>
      <c r="AC50" s="500"/>
      <c r="AD50" s="500"/>
    </row>
    <row r="51" spans="1:30" ht="13.5" customHeight="1">
      <c r="A51" s="768" t="str">
        <f>Напрями!$A$73</f>
        <v>215M</v>
      </c>
      <c r="B51" s="781"/>
      <c r="C51" s="768" t="s">
        <v>2013</v>
      </c>
      <c r="D51" s="501" t="s">
        <v>2119</v>
      </c>
      <c r="E51" s="502">
        <v>400</v>
      </c>
      <c r="F51" s="501" t="s">
        <v>1187</v>
      </c>
      <c r="G51" s="503"/>
      <c r="H51" s="504">
        <v>400</v>
      </c>
      <c r="I51" s="504">
        <v>400</v>
      </c>
      <c r="J51" s="504"/>
      <c r="K51" s="505"/>
      <c r="L51" s="500"/>
      <c r="M51" s="502"/>
      <c r="N51" s="502">
        <v>2500</v>
      </c>
      <c r="O51" s="502"/>
      <c r="P51" s="506">
        <v>0</v>
      </c>
      <c r="Q51" s="506">
        <f>I51*N51</f>
        <v>1000000</v>
      </c>
      <c r="R51" s="506">
        <v>1000000</v>
      </c>
      <c r="S51" s="506">
        <v>2000000</v>
      </c>
      <c r="T51" s="506">
        <v>0</v>
      </c>
      <c r="U51" s="506">
        <v>39162.739786112696</v>
      </c>
      <c r="V51" s="506">
        <v>39162.739786112696</v>
      </c>
      <c r="W51" s="506">
        <v>78325.479572225391</v>
      </c>
      <c r="X51" s="349" t="s">
        <v>994</v>
      </c>
      <c r="Y51" s="500" t="s">
        <v>2013</v>
      </c>
      <c r="Z51" s="500"/>
      <c r="AA51" s="500"/>
      <c r="AB51" s="500"/>
      <c r="AC51" s="500"/>
      <c r="AD51" s="500"/>
    </row>
    <row r="52" spans="1:30" ht="13.5" customHeight="1">
      <c r="A52" s="768" t="str">
        <f>Напрями!$A$73</f>
        <v>215M</v>
      </c>
      <c r="B52" s="781"/>
      <c r="C52" s="768" t="s">
        <v>2013</v>
      </c>
      <c r="D52" s="501" t="s">
        <v>1045</v>
      </c>
      <c r="E52" s="507">
        <v>0.15</v>
      </c>
      <c r="F52" s="501"/>
      <c r="G52" s="504">
        <v>0</v>
      </c>
      <c r="H52" s="504">
        <v>1000000</v>
      </c>
      <c r="I52" s="504">
        <f>SUM(I51)*15%</f>
        <v>60</v>
      </c>
      <c r="J52" s="504"/>
      <c r="K52" s="500"/>
      <c r="L52" s="500"/>
      <c r="M52" s="502"/>
      <c r="N52" s="502">
        <v>2500</v>
      </c>
      <c r="O52" s="502"/>
      <c r="P52" s="506">
        <v>0</v>
      </c>
      <c r="Q52" s="506">
        <v>150000</v>
      </c>
      <c r="R52" s="506">
        <v>150000</v>
      </c>
      <c r="S52" s="506">
        <v>300000</v>
      </c>
      <c r="T52" s="506">
        <v>0</v>
      </c>
      <c r="U52" s="506">
        <v>5874.4109679169042</v>
      </c>
      <c r="V52" s="506">
        <v>5874.4109679169042</v>
      </c>
      <c r="W52" s="506">
        <v>11748.821935833808</v>
      </c>
      <c r="X52" s="782" t="s">
        <v>875</v>
      </c>
      <c r="Y52" s="500" t="s">
        <v>2013</v>
      </c>
      <c r="Z52" s="500"/>
      <c r="AA52" s="500"/>
      <c r="AB52" s="500"/>
      <c r="AC52" s="500"/>
      <c r="AD52" s="500"/>
    </row>
    <row r="53" spans="1:30" ht="13.5" customHeight="1">
      <c r="A53" s="768" t="str">
        <f>Напрями!$A$73</f>
        <v>215M</v>
      </c>
      <c r="B53" s="781"/>
      <c r="C53" s="768" t="s">
        <v>2013</v>
      </c>
      <c r="D53" s="501" t="s">
        <v>1046</v>
      </c>
      <c r="E53" s="507">
        <v>0.1</v>
      </c>
      <c r="F53" s="501"/>
      <c r="G53" s="504">
        <v>0</v>
      </c>
      <c r="H53" s="504">
        <v>1000000</v>
      </c>
      <c r="I53" s="504">
        <f>SUM(I51)*10%</f>
        <v>40</v>
      </c>
      <c r="J53" s="504"/>
      <c r="K53" s="500"/>
      <c r="L53" s="500"/>
      <c r="M53" s="502"/>
      <c r="N53" s="502">
        <v>2500</v>
      </c>
      <c r="O53" s="502"/>
      <c r="P53" s="506">
        <v>0</v>
      </c>
      <c r="Q53" s="506">
        <v>100000</v>
      </c>
      <c r="R53" s="506">
        <v>100000</v>
      </c>
      <c r="S53" s="506">
        <v>200000</v>
      </c>
      <c r="T53" s="506">
        <v>0</v>
      </c>
      <c r="U53" s="506">
        <v>3916.2739786112697</v>
      </c>
      <c r="V53" s="506">
        <v>3916.2739786112697</v>
      </c>
      <c r="W53" s="506">
        <v>7832.5479572225395</v>
      </c>
      <c r="X53" s="349" t="s">
        <v>881</v>
      </c>
      <c r="Y53" s="500" t="s">
        <v>2013</v>
      </c>
      <c r="Z53" s="500"/>
      <c r="AA53" s="500"/>
      <c r="AB53" s="500"/>
      <c r="AC53" s="500"/>
      <c r="AD53" s="500"/>
    </row>
    <row r="54" spans="1:30" ht="14.25" customHeight="1">
      <c r="A54" s="768"/>
      <c r="B54" s="4"/>
      <c r="C54" s="768"/>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4.25" customHeight="1">
      <c r="A55" s="768" t="str">
        <f>Напрями!$A$74</f>
        <v>216M</v>
      </c>
      <c r="B55" s="4"/>
      <c r="C55" s="768" t="s">
        <v>2020</v>
      </c>
      <c r="D55" s="498" t="s">
        <v>966</v>
      </c>
      <c r="E55" s="499" t="s">
        <v>967</v>
      </c>
      <c r="F55" s="499" t="s">
        <v>968</v>
      </c>
      <c r="G55" s="499" t="s">
        <v>969</v>
      </c>
      <c r="H55" s="499" t="s">
        <v>970</v>
      </c>
      <c r="I55" s="499" t="s">
        <v>2107</v>
      </c>
      <c r="J55" s="499" t="s">
        <v>2108</v>
      </c>
      <c r="K55" s="500" t="s">
        <v>2109</v>
      </c>
      <c r="L55" s="4"/>
      <c r="M55" s="4"/>
      <c r="N55" s="4"/>
      <c r="O55" s="4"/>
      <c r="P55" s="499" t="s">
        <v>2110</v>
      </c>
      <c r="Q55" s="499" t="s">
        <v>2111</v>
      </c>
      <c r="R55" s="499" t="s">
        <v>2112</v>
      </c>
      <c r="S55" s="499" t="s">
        <v>1105</v>
      </c>
      <c r="T55" s="499" t="s">
        <v>2113</v>
      </c>
      <c r="U55" s="499" t="s">
        <v>2114</v>
      </c>
      <c r="V55" s="499" t="s">
        <v>2115</v>
      </c>
      <c r="W55" s="499" t="s">
        <v>2116</v>
      </c>
      <c r="X55" s="498" t="s">
        <v>934</v>
      </c>
      <c r="Y55" s="500" t="s">
        <v>2117</v>
      </c>
      <c r="Z55" s="500" t="s">
        <v>2118</v>
      </c>
      <c r="AA55" s="4"/>
      <c r="AB55" s="4"/>
      <c r="AC55" s="4"/>
      <c r="AD55" s="4"/>
    </row>
    <row r="56" spans="1:30" ht="14.25" customHeight="1">
      <c r="A56" s="768" t="str">
        <f>Напрями!$A$74</f>
        <v>216M</v>
      </c>
      <c r="B56" s="4"/>
      <c r="C56" s="768" t="s">
        <v>2020</v>
      </c>
      <c r="D56" s="508" t="s">
        <v>2120</v>
      </c>
      <c r="E56" s="783">
        <v>5106.8950000000004</v>
      </c>
      <c r="F56" s="509" t="s">
        <v>2121</v>
      </c>
      <c r="G56" s="510">
        <v>9</v>
      </c>
      <c r="H56" s="511">
        <v>45962.055000000008</v>
      </c>
      <c r="I56" s="506">
        <v>1800.0000000000002</v>
      </c>
      <c r="J56" s="500"/>
      <c r="K56" s="500"/>
      <c r="L56" s="4"/>
      <c r="M56" s="4"/>
      <c r="N56" s="4"/>
      <c r="O56" s="4"/>
      <c r="P56" s="784">
        <v>0</v>
      </c>
      <c r="Q56" s="784">
        <v>22981.08</v>
      </c>
      <c r="R56" s="784">
        <v>22981.08</v>
      </c>
      <c r="S56" s="512">
        <v>45962.16</v>
      </c>
      <c r="T56" s="512">
        <v>0</v>
      </c>
      <c r="U56" s="512">
        <v>900.00205604383882</v>
      </c>
      <c r="V56" s="512">
        <v>900.00205604383882</v>
      </c>
      <c r="W56" s="512">
        <v>1800.0041120876776</v>
      </c>
      <c r="X56" s="349" t="s">
        <v>977</v>
      </c>
      <c r="Y56" s="500" t="s">
        <v>2020</v>
      </c>
      <c r="Z56" s="500"/>
      <c r="AA56" s="4"/>
      <c r="AB56" s="4"/>
      <c r="AC56" s="4"/>
      <c r="AD56" s="4"/>
    </row>
    <row r="57" spans="1:30" ht="14.25" customHeight="1">
      <c r="A57" s="768" t="str">
        <f>Напрями!$A$74</f>
        <v>216M</v>
      </c>
      <c r="B57" s="4"/>
      <c r="C57" s="768" t="s">
        <v>2020</v>
      </c>
      <c r="D57" s="508" t="s">
        <v>2122</v>
      </c>
      <c r="E57" s="783">
        <v>3830.1712499999999</v>
      </c>
      <c r="F57" s="509" t="s">
        <v>2121</v>
      </c>
      <c r="G57" s="510">
        <v>9</v>
      </c>
      <c r="H57" s="511">
        <v>34471.541250000002</v>
      </c>
      <c r="I57" s="506">
        <v>1350</v>
      </c>
      <c r="J57" s="500"/>
      <c r="K57" s="500"/>
      <c r="L57" s="4"/>
      <c r="M57" s="4"/>
      <c r="N57" s="4"/>
      <c r="O57" s="4"/>
      <c r="P57" s="784">
        <v>0</v>
      </c>
      <c r="Q57" s="784">
        <v>17235.685000000001</v>
      </c>
      <c r="R57" s="784">
        <v>17235.685000000001</v>
      </c>
      <c r="S57" s="512">
        <v>34471.370000000003</v>
      </c>
      <c r="T57" s="512">
        <v>0</v>
      </c>
      <c r="U57" s="512">
        <v>674.9966466904059</v>
      </c>
      <c r="V57" s="512">
        <v>674.9966466904059</v>
      </c>
      <c r="W57" s="512">
        <v>1349.9932933808118</v>
      </c>
      <c r="X57" s="349" t="s">
        <v>977</v>
      </c>
      <c r="Y57" s="500" t="s">
        <v>2020</v>
      </c>
      <c r="Z57" s="500"/>
      <c r="AA57" s="4"/>
      <c r="AB57" s="4"/>
      <c r="AC57" s="4"/>
      <c r="AD57" s="4"/>
    </row>
    <row r="58" spans="1:30" ht="14.25" customHeight="1">
      <c r="A58" s="768" t="str">
        <f>Напрями!$A$74</f>
        <v>216M</v>
      </c>
      <c r="B58" s="4"/>
      <c r="C58" s="768" t="s">
        <v>2020</v>
      </c>
      <c r="D58" s="508" t="s">
        <v>2123</v>
      </c>
      <c r="E58" s="783">
        <v>766.03425000000004</v>
      </c>
      <c r="F58" s="513" t="s">
        <v>1187</v>
      </c>
      <c r="G58" s="510">
        <v>2700</v>
      </c>
      <c r="H58" s="511">
        <v>2068292.4750000001</v>
      </c>
      <c r="I58" s="506">
        <v>81000</v>
      </c>
      <c r="J58" s="500"/>
      <c r="K58" s="500"/>
      <c r="L58" s="4"/>
      <c r="M58" s="4"/>
      <c r="N58" s="4"/>
      <c r="O58" s="4"/>
      <c r="P58" s="784">
        <v>0</v>
      </c>
      <c r="Q58" s="784">
        <v>1034146.1000000001</v>
      </c>
      <c r="R58" s="784">
        <v>1034146.1000000001</v>
      </c>
      <c r="S58" s="512">
        <v>2068292.2000000002</v>
      </c>
      <c r="T58" s="512">
        <v>0</v>
      </c>
      <c r="U58" s="512">
        <v>40499.99461512328</v>
      </c>
      <c r="V58" s="512">
        <v>40499.99461512328</v>
      </c>
      <c r="W58" s="512">
        <v>80999.98923024656</v>
      </c>
      <c r="X58" s="349" t="s">
        <v>977</v>
      </c>
      <c r="Y58" s="500" t="s">
        <v>2020</v>
      </c>
      <c r="Z58" s="500"/>
      <c r="AA58" s="4"/>
      <c r="AB58" s="4"/>
      <c r="AC58" s="4"/>
      <c r="AD58" s="4"/>
    </row>
    <row r="59" spans="1:30" ht="14.25" customHeight="1">
      <c r="A59" s="768"/>
      <c r="B59" s="4"/>
      <c r="C59" s="768"/>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4.25" customHeight="1">
      <c r="A60" s="768" t="str">
        <f>Напрями!$A$75</f>
        <v>217M</v>
      </c>
      <c r="B60" s="4"/>
      <c r="C60" s="768" t="s">
        <v>2023</v>
      </c>
      <c r="D60" s="498" t="s">
        <v>966</v>
      </c>
      <c r="E60" s="499" t="s">
        <v>967</v>
      </c>
      <c r="F60" s="499" t="s">
        <v>968</v>
      </c>
      <c r="G60" s="499" t="s">
        <v>969</v>
      </c>
      <c r="H60" s="499" t="s">
        <v>970</v>
      </c>
      <c r="I60" s="499" t="s">
        <v>2107</v>
      </c>
      <c r="J60" s="499" t="s">
        <v>2108</v>
      </c>
      <c r="K60" s="500" t="s">
        <v>2109</v>
      </c>
      <c r="L60" s="4"/>
      <c r="M60" s="4"/>
      <c r="N60" s="4"/>
      <c r="O60" s="4"/>
      <c r="P60" s="499" t="s">
        <v>2110</v>
      </c>
      <c r="Q60" s="499" t="s">
        <v>2111</v>
      </c>
      <c r="R60" s="499" t="s">
        <v>2112</v>
      </c>
      <c r="S60" s="499" t="s">
        <v>1105</v>
      </c>
      <c r="T60" s="499" t="s">
        <v>2113</v>
      </c>
      <c r="U60" s="499" t="s">
        <v>2114</v>
      </c>
      <c r="V60" s="499" t="s">
        <v>2115</v>
      </c>
      <c r="W60" s="499" t="s">
        <v>2116</v>
      </c>
      <c r="X60" s="498" t="s">
        <v>934</v>
      </c>
      <c r="Y60" s="500" t="s">
        <v>2117</v>
      </c>
      <c r="Z60" s="500" t="s">
        <v>2118</v>
      </c>
      <c r="AA60" s="4"/>
      <c r="AB60" s="4"/>
      <c r="AC60" s="4"/>
      <c r="AD60" s="4"/>
    </row>
    <row r="61" spans="1:30" ht="14.25" customHeight="1">
      <c r="A61" s="768" t="str">
        <f>Напрями!$A$75</f>
        <v>217M</v>
      </c>
      <c r="B61" s="4"/>
      <c r="C61" s="768" t="s">
        <v>2023</v>
      </c>
      <c r="D61" s="508" t="s">
        <v>2124</v>
      </c>
      <c r="E61" s="783">
        <v>14992.822340999999</v>
      </c>
      <c r="F61" s="509" t="s">
        <v>949</v>
      </c>
      <c r="G61" s="510">
        <v>3</v>
      </c>
      <c r="H61" s="511">
        <v>44978.467022999997</v>
      </c>
      <c r="I61" s="506">
        <v>1761.4799999999998</v>
      </c>
      <c r="J61" s="500"/>
      <c r="K61" s="500"/>
      <c r="L61" s="4"/>
      <c r="M61" s="4"/>
      <c r="N61" s="4"/>
      <c r="O61" s="4"/>
      <c r="P61" s="784"/>
      <c r="Q61" s="785">
        <v>44978.467022999997</v>
      </c>
      <c r="R61" s="512"/>
      <c r="S61" s="512">
        <v>44978.467022999997</v>
      </c>
      <c r="T61" s="512">
        <v>0</v>
      </c>
      <c r="U61" s="512">
        <v>1761.4799999999998</v>
      </c>
      <c r="V61" s="512">
        <v>0</v>
      </c>
      <c r="W61" s="512">
        <v>1761.4799999999998</v>
      </c>
      <c r="X61" s="349" t="s">
        <v>813</v>
      </c>
      <c r="Y61" s="500" t="s">
        <v>2023</v>
      </c>
      <c r="Z61" s="500"/>
      <c r="AA61" s="4"/>
      <c r="AB61" s="4"/>
      <c r="AC61" s="4"/>
      <c r="AD61" s="4"/>
    </row>
    <row r="62" spans="1:30" ht="14.25" customHeight="1">
      <c r="A62" s="768" t="str">
        <f>Напрями!$A$75</f>
        <v>217M</v>
      </c>
      <c r="B62" s="4"/>
      <c r="C62" s="768" t="s">
        <v>2023</v>
      </c>
      <c r="D62" s="508" t="s">
        <v>2125</v>
      </c>
      <c r="E62" s="783">
        <v>3334.1000000000004</v>
      </c>
      <c r="F62" s="514" t="s">
        <v>2126</v>
      </c>
      <c r="G62" s="510">
        <v>4</v>
      </c>
      <c r="H62" s="511">
        <v>13336.400000000001</v>
      </c>
      <c r="I62" s="506">
        <v>522.28996288351345</v>
      </c>
      <c r="J62" s="500"/>
      <c r="K62" s="500"/>
      <c r="L62" s="4"/>
      <c r="M62" s="4"/>
      <c r="N62" s="4"/>
      <c r="O62" s="4"/>
      <c r="P62" s="784"/>
      <c r="Q62" s="785">
        <v>13336.400000000001</v>
      </c>
      <c r="R62" s="512"/>
      <c r="S62" s="512">
        <v>13336.400000000001</v>
      </c>
      <c r="T62" s="512">
        <v>0</v>
      </c>
      <c r="U62" s="512">
        <v>522.28996288351345</v>
      </c>
      <c r="V62" s="512">
        <v>0</v>
      </c>
      <c r="W62" s="512">
        <v>522.28996288351345</v>
      </c>
      <c r="X62" s="349" t="s">
        <v>848</v>
      </c>
      <c r="Y62" s="500" t="s">
        <v>2023</v>
      </c>
      <c r="Z62" s="500"/>
      <c r="AA62" s="4"/>
      <c r="AB62" s="4"/>
      <c r="AC62" s="4"/>
      <c r="AD62" s="4"/>
    </row>
    <row r="63" spans="1:30" ht="14.25" customHeight="1">
      <c r="A63" s="768" t="str">
        <f>Напрями!$A$75</f>
        <v>217M</v>
      </c>
      <c r="B63" s="4"/>
      <c r="C63" s="768" t="s">
        <v>2023</v>
      </c>
      <c r="D63" s="508" t="s">
        <v>2127</v>
      </c>
      <c r="E63" s="783">
        <v>2553.4475000000002</v>
      </c>
      <c r="F63" s="513" t="s">
        <v>1187</v>
      </c>
      <c r="G63" s="510">
        <v>1</v>
      </c>
      <c r="H63" s="511">
        <v>2553.4475000000002</v>
      </c>
      <c r="I63" s="506">
        <v>100</v>
      </c>
      <c r="J63" s="500"/>
      <c r="K63" s="500"/>
      <c r="L63" s="4"/>
      <c r="M63" s="4"/>
      <c r="N63" s="4"/>
      <c r="O63" s="4"/>
      <c r="P63" s="784"/>
      <c r="Q63" s="785">
        <v>2553.4475000000002</v>
      </c>
      <c r="R63" s="512"/>
      <c r="S63" s="512">
        <v>2553.4475000000002</v>
      </c>
      <c r="T63" s="512">
        <v>0</v>
      </c>
      <c r="U63" s="512">
        <v>100</v>
      </c>
      <c r="V63" s="512">
        <v>0</v>
      </c>
      <c r="W63" s="512">
        <v>100</v>
      </c>
      <c r="X63" s="349" t="s">
        <v>848</v>
      </c>
      <c r="Y63" s="500" t="s">
        <v>2023</v>
      </c>
      <c r="Z63" s="500"/>
      <c r="AA63" s="4"/>
      <c r="AB63" s="4"/>
      <c r="AC63" s="4"/>
      <c r="AD63" s="4"/>
    </row>
    <row r="64" spans="1:30" ht="14.25" customHeight="1">
      <c r="A64" s="768" t="str">
        <f>Напрями!$A$75</f>
        <v>217M</v>
      </c>
      <c r="B64" s="4"/>
      <c r="C64" s="768" t="s">
        <v>2023</v>
      </c>
      <c r="D64" s="500" t="s">
        <v>2128</v>
      </c>
      <c r="E64" s="783">
        <v>128780.85</v>
      </c>
      <c r="F64" s="509" t="s">
        <v>949</v>
      </c>
      <c r="G64" s="510">
        <v>1</v>
      </c>
      <c r="H64" s="511">
        <v>128780.85</v>
      </c>
      <c r="I64" s="506">
        <v>5043.4109179844118</v>
      </c>
      <c r="J64" s="500"/>
      <c r="K64" s="500"/>
      <c r="L64" s="4"/>
      <c r="M64" s="4"/>
      <c r="N64" s="4"/>
      <c r="O64" s="4"/>
      <c r="P64" s="512"/>
      <c r="Q64" s="512">
        <v>128780.85</v>
      </c>
      <c r="R64" s="512"/>
      <c r="S64" s="512">
        <v>128780.85</v>
      </c>
      <c r="T64" s="512">
        <v>0</v>
      </c>
      <c r="U64" s="512">
        <v>5043.4109179844118</v>
      </c>
      <c r="V64" s="512">
        <v>0</v>
      </c>
      <c r="W64" s="512">
        <v>5043.4109179844118</v>
      </c>
      <c r="X64" s="349" t="s">
        <v>950</v>
      </c>
      <c r="Y64" s="500" t="s">
        <v>2023</v>
      </c>
      <c r="Z64" s="500"/>
      <c r="AA64" s="4"/>
      <c r="AB64" s="4"/>
      <c r="AC64" s="4"/>
      <c r="AD64" s="4"/>
    </row>
    <row r="65" spans="1:30" ht="14.25" customHeight="1">
      <c r="A65" s="768" t="str">
        <f>Напрями!$A$75</f>
        <v>217M</v>
      </c>
      <c r="B65" s="4"/>
      <c r="C65" s="768" t="s">
        <v>2023</v>
      </c>
      <c r="D65" s="508" t="s">
        <v>2129</v>
      </c>
      <c r="E65" s="783">
        <v>602.10292049999998</v>
      </c>
      <c r="F65" s="513" t="s">
        <v>1187</v>
      </c>
      <c r="G65" s="510">
        <v>30</v>
      </c>
      <c r="H65" s="511">
        <v>18063.087615</v>
      </c>
      <c r="I65" s="506">
        <v>707.4</v>
      </c>
      <c r="J65" s="500"/>
      <c r="K65" s="500"/>
      <c r="L65" s="4"/>
      <c r="M65" s="4"/>
      <c r="N65" s="4"/>
      <c r="O65" s="4"/>
      <c r="P65" s="512"/>
      <c r="Q65" s="512">
        <v>18063.087615</v>
      </c>
      <c r="R65" s="512"/>
      <c r="S65" s="512">
        <v>18063.087615</v>
      </c>
      <c r="T65" s="512">
        <v>0</v>
      </c>
      <c r="U65" s="512">
        <v>707.4</v>
      </c>
      <c r="V65" s="512">
        <v>0</v>
      </c>
      <c r="W65" s="512">
        <v>707.4</v>
      </c>
      <c r="X65" s="349" t="s">
        <v>848</v>
      </c>
      <c r="Y65" s="500" t="s">
        <v>2023</v>
      </c>
      <c r="Z65" s="500"/>
      <c r="AA65" s="4"/>
      <c r="AB65" s="4"/>
      <c r="AC65" s="4"/>
      <c r="AD65" s="4"/>
    </row>
    <row r="66" spans="1:30" ht="14.25" customHeight="1">
      <c r="A66" s="768" t="str">
        <f>Напрями!$A$75</f>
        <v>217M</v>
      </c>
      <c r="B66" s="4"/>
      <c r="C66" s="768" t="s">
        <v>2023</v>
      </c>
      <c r="D66" s="500" t="s">
        <v>2130</v>
      </c>
      <c r="E66" s="783">
        <v>3334.1000000000004</v>
      </c>
      <c r="F66" s="514" t="s">
        <v>2126</v>
      </c>
      <c r="G66" s="510">
        <v>1</v>
      </c>
      <c r="H66" s="511">
        <v>3334.1000000000004</v>
      </c>
      <c r="I66" s="506">
        <v>130.57249072087836</v>
      </c>
      <c r="J66" s="500"/>
      <c r="K66" s="500"/>
      <c r="L66" s="4"/>
      <c r="M66" s="4"/>
      <c r="N66" s="4"/>
      <c r="O66" s="4"/>
      <c r="P66" s="512"/>
      <c r="Q66" s="512">
        <v>3334.1000000000004</v>
      </c>
      <c r="R66" s="512"/>
      <c r="S66" s="512">
        <v>3334.1000000000004</v>
      </c>
      <c r="T66" s="512">
        <v>0</v>
      </c>
      <c r="U66" s="512">
        <v>130.57249072087836</v>
      </c>
      <c r="V66" s="512">
        <v>0</v>
      </c>
      <c r="W66" s="512">
        <v>130.57249072087836</v>
      </c>
      <c r="X66" s="349" t="s">
        <v>848</v>
      </c>
      <c r="Y66" s="500" t="s">
        <v>2023</v>
      </c>
      <c r="Z66" s="500"/>
      <c r="AA66" s="4"/>
      <c r="AB66" s="4"/>
      <c r="AC66" s="4"/>
      <c r="AD66" s="4"/>
    </row>
    <row r="67" spans="1:30" ht="14.25" customHeight="1">
      <c r="A67" s="768" t="str">
        <f>Напрями!$A$75</f>
        <v>217M</v>
      </c>
      <c r="B67" s="4"/>
      <c r="C67" s="768" t="s">
        <v>2023</v>
      </c>
      <c r="D67" s="508" t="s">
        <v>2129</v>
      </c>
      <c r="E67" s="783">
        <v>602.10292049999998</v>
      </c>
      <c r="F67" s="513" t="s">
        <v>1187</v>
      </c>
      <c r="G67" s="510">
        <v>30</v>
      </c>
      <c r="H67" s="511">
        <v>18063.087615</v>
      </c>
      <c r="I67" s="506">
        <v>707.4</v>
      </c>
      <c r="J67" s="500"/>
      <c r="K67" s="500"/>
      <c r="L67" s="4"/>
      <c r="M67" s="4"/>
      <c r="N67" s="4"/>
      <c r="O67" s="4"/>
      <c r="P67" s="512"/>
      <c r="Q67" s="512"/>
      <c r="R67" s="512">
        <v>18063.087615</v>
      </c>
      <c r="S67" s="512">
        <v>18063.087615</v>
      </c>
      <c r="T67" s="512">
        <v>0</v>
      </c>
      <c r="U67" s="512">
        <v>0</v>
      </c>
      <c r="V67" s="512">
        <v>707.4</v>
      </c>
      <c r="W67" s="512">
        <v>707.4</v>
      </c>
      <c r="X67" s="349" t="s">
        <v>848</v>
      </c>
      <c r="Y67" s="500" t="s">
        <v>2023</v>
      </c>
      <c r="Z67" s="500"/>
      <c r="AA67" s="4"/>
      <c r="AB67" s="4"/>
      <c r="AC67" s="4"/>
      <c r="AD67" s="4"/>
    </row>
    <row r="68" spans="1:30" ht="14.25" customHeight="1">
      <c r="A68" s="768" t="str">
        <f>Напрями!$A$75</f>
        <v>217M</v>
      </c>
      <c r="B68" s="4"/>
      <c r="C68" s="768" t="s">
        <v>2023</v>
      </c>
      <c r="D68" s="508" t="s">
        <v>2130</v>
      </c>
      <c r="E68" s="783">
        <v>3334.1000000000004</v>
      </c>
      <c r="F68" s="514" t="s">
        <v>2126</v>
      </c>
      <c r="G68" s="510">
        <v>1</v>
      </c>
      <c r="H68" s="511">
        <v>3334.1000000000004</v>
      </c>
      <c r="I68" s="506">
        <v>130.57249072087836</v>
      </c>
      <c r="J68" s="500"/>
      <c r="K68" s="500"/>
      <c r="L68" s="4"/>
      <c r="M68" s="4"/>
      <c r="N68" s="4"/>
      <c r="O68" s="4"/>
      <c r="P68" s="512"/>
      <c r="Q68" s="512"/>
      <c r="R68" s="512">
        <v>3334.1000000000004</v>
      </c>
      <c r="S68" s="512">
        <v>3334.1000000000004</v>
      </c>
      <c r="T68" s="512">
        <v>0</v>
      </c>
      <c r="U68" s="512">
        <v>0</v>
      </c>
      <c r="V68" s="512">
        <v>130.57249072087836</v>
      </c>
      <c r="W68" s="512">
        <v>130.57249072087836</v>
      </c>
      <c r="X68" s="349" t="s">
        <v>848</v>
      </c>
      <c r="Y68" s="500" t="s">
        <v>2023</v>
      </c>
      <c r="Z68" s="500"/>
      <c r="AA68" s="4"/>
      <c r="AB68" s="4"/>
      <c r="AC68" s="4"/>
      <c r="AD68" s="4"/>
    </row>
    <row r="69" spans="1:30" ht="14.25" customHeight="1">
      <c r="A69" s="768"/>
      <c r="B69" s="4"/>
      <c r="C69" s="768"/>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4.25" customHeight="1">
      <c r="A70" s="768" t="str">
        <f>Напрями!$A$75</f>
        <v>217M</v>
      </c>
      <c r="B70" s="4"/>
      <c r="C70" s="768" t="s">
        <v>2059</v>
      </c>
      <c r="D70" s="498" t="s">
        <v>966</v>
      </c>
      <c r="E70" s="499" t="s">
        <v>967</v>
      </c>
      <c r="F70" s="499" t="s">
        <v>968</v>
      </c>
      <c r="G70" s="499" t="s">
        <v>969</v>
      </c>
      <c r="H70" s="499" t="s">
        <v>970</v>
      </c>
      <c r="I70" s="499" t="s">
        <v>2107</v>
      </c>
      <c r="J70" s="499" t="s">
        <v>2108</v>
      </c>
      <c r="K70" s="500" t="s">
        <v>2109</v>
      </c>
      <c r="L70" s="4"/>
      <c r="M70" s="4"/>
      <c r="N70" s="4"/>
      <c r="O70" s="4"/>
      <c r="P70" s="499" t="s">
        <v>2110</v>
      </c>
      <c r="Q70" s="499" t="s">
        <v>2111</v>
      </c>
      <c r="R70" s="499" t="s">
        <v>2112</v>
      </c>
      <c r="S70" s="499" t="s">
        <v>1105</v>
      </c>
      <c r="T70" s="499" t="s">
        <v>2113</v>
      </c>
      <c r="U70" s="499" t="s">
        <v>2114</v>
      </c>
      <c r="V70" s="499" t="s">
        <v>2115</v>
      </c>
      <c r="W70" s="499" t="s">
        <v>2116</v>
      </c>
      <c r="X70" s="498" t="s">
        <v>934</v>
      </c>
      <c r="Y70" s="500" t="s">
        <v>2117</v>
      </c>
      <c r="Z70" s="4"/>
      <c r="AA70" s="4"/>
      <c r="AB70" s="4"/>
      <c r="AC70" s="4"/>
      <c r="AD70" s="4"/>
    </row>
    <row r="71" spans="1:30" ht="14.25" customHeight="1">
      <c r="A71" s="768" t="str">
        <f>Напрями!$A$75</f>
        <v>217M</v>
      </c>
      <c r="B71" s="4"/>
      <c r="C71" s="768" t="s">
        <v>2059</v>
      </c>
      <c r="D71" s="508" t="s">
        <v>2131</v>
      </c>
      <c r="E71" s="515">
        <v>2042.758</v>
      </c>
      <c r="F71" s="516" t="s">
        <v>2132</v>
      </c>
      <c r="G71" s="517">
        <v>1</v>
      </c>
      <c r="H71" s="517">
        <v>1</v>
      </c>
      <c r="I71" s="518">
        <v>2042.758</v>
      </c>
      <c r="J71" s="518">
        <v>80</v>
      </c>
      <c r="K71" s="500"/>
      <c r="L71" s="4"/>
      <c r="M71" s="4"/>
      <c r="N71" s="4"/>
      <c r="O71" s="4"/>
      <c r="P71" s="786"/>
      <c r="Q71" s="787">
        <v>2042.758</v>
      </c>
      <c r="R71" s="519"/>
      <c r="S71" s="519">
        <v>2042.758</v>
      </c>
      <c r="T71" s="788"/>
      <c r="U71" s="789">
        <v>80</v>
      </c>
      <c r="V71" s="519"/>
      <c r="W71" s="519">
        <v>80</v>
      </c>
      <c r="X71" s="500"/>
      <c r="Y71" s="500" t="s">
        <v>2059</v>
      </c>
      <c r="Z71" s="4"/>
      <c r="AA71" s="4"/>
      <c r="AB71" s="4"/>
      <c r="AC71" s="4"/>
      <c r="AD71" s="4"/>
    </row>
    <row r="72" spans="1:30" ht="14.25" customHeight="1">
      <c r="A72" s="768" t="str">
        <f>Напрями!$A$75</f>
        <v>217M</v>
      </c>
      <c r="B72" s="4"/>
      <c r="C72" s="768" t="s">
        <v>2059</v>
      </c>
      <c r="D72" s="508" t="s">
        <v>2133</v>
      </c>
      <c r="E72" s="515">
        <v>15393.202908999998</v>
      </c>
      <c r="F72" s="516" t="s">
        <v>2132</v>
      </c>
      <c r="G72" s="517">
        <v>1</v>
      </c>
      <c r="H72" s="517">
        <v>1</v>
      </c>
      <c r="I72" s="518">
        <v>15393.202908999998</v>
      </c>
      <c r="J72" s="518">
        <v>602.83999999999992</v>
      </c>
      <c r="K72" s="500"/>
      <c r="L72" s="4"/>
      <c r="M72" s="4"/>
      <c r="N72" s="4"/>
      <c r="O72" s="4"/>
      <c r="P72" s="786"/>
      <c r="Q72" s="787">
        <v>15393.202908999998</v>
      </c>
      <c r="R72" s="519"/>
      <c r="S72" s="519">
        <v>15393.202908999998</v>
      </c>
      <c r="T72" s="788"/>
      <c r="U72" s="789">
        <v>602.83999999999992</v>
      </c>
      <c r="V72" s="519"/>
      <c r="W72" s="519">
        <v>602.83999999999992</v>
      </c>
      <c r="X72" s="500"/>
      <c r="Y72" s="500" t="s">
        <v>2059</v>
      </c>
      <c r="Z72" s="4"/>
      <c r="AA72" s="4"/>
      <c r="AB72" s="4"/>
      <c r="AC72" s="4"/>
      <c r="AD72" s="4"/>
    </row>
    <row r="73" spans="1:30" ht="14.25" customHeight="1">
      <c r="A73" s="768" t="str">
        <f>Напрями!$A$75</f>
        <v>217M</v>
      </c>
      <c r="B73" s="4"/>
      <c r="C73" s="768" t="s">
        <v>2059</v>
      </c>
      <c r="D73" s="508" t="s">
        <v>2134</v>
      </c>
      <c r="E73" s="515"/>
      <c r="F73" s="516"/>
      <c r="G73" s="517"/>
      <c r="H73" s="517"/>
      <c r="I73" s="518">
        <v>0</v>
      </c>
      <c r="J73" s="518">
        <v>0</v>
      </c>
      <c r="K73" s="500"/>
      <c r="L73" s="4"/>
      <c r="M73" s="4"/>
      <c r="N73" s="4"/>
      <c r="O73" s="4"/>
      <c r="P73" s="519"/>
      <c r="Q73" s="519"/>
      <c r="R73" s="519"/>
      <c r="S73" s="519">
        <v>0</v>
      </c>
      <c r="T73" s="519"/>
      <c r="U73" s="519"/>
      <c r="V73" s="519"/>
      <c r="W73" s="519">
        <v>0</v>
      </c>
      <c r="X73" s="500"/>
      <c r="Y73" s="500" t="s">
        <v>2059</v>
      </c>
      <c r="Z73" s="4"/>
      <c r="AA73" s="4"/>
      <c r="AB73" s="4"/>
      <c r="AC73" s="4"/>
      <c r="AD73" s="4"/>
    </row>
    <row r="74" spans="1:30" ht="14.25" customHeight="1">
      <c r="A74" s="768" t="str">
        <f>Напрями!$A$75</f>
        <v>217M</v>
      </c>
      <c r="B74" s="4"/>
      <c r="C74" s="768" t="s">
        <v>2059</v>
      </c>
      <c r="D74" s="508" t="s">
        <v>769</v>
      </c>
      <c r="E74" s="515">
        <v>3334.1000000000004</v>
      </c>
      <c r="F74" s="516" t="s">
        <v>2126</v>
      </c>
      <c r="G74" s="517">
        <v>6</v>
      </c>
      <c r="H74" s="517">
        <v>1</v>
      </c>
      <c r="I74" s="518">
        <v>20004.600000000002</v>
      </c>
      <c r="J74" s="518">
        <v>783.43494432527007</v>
      </c>
      <c r="K74" s="500"/>
      <c r="L74" s="4"/>
      <c r="M74" s="4"/>
      <c r="N74" s="4"/>
      <c r="O74" s="4"/>
      <c r="P74" s="519"/>
      <c r="Q74" s="519">
        <v>20004.600000000002</v>
      </c>
      <c r="R74" s="519"/>
      <c r="S74" s="519">
        <v>20004.600000000002</v>
      </c>
      <c r="T74" s="519"/>
      <c r="U74" s="519">
        <v>783.43494432527007</v>
      </c>
      <c r="V74" s="519"/>
      <c r="W74" s="519">
        <v>783.43494432527007</v>
      </c>
      <c r="X74" s="500"/>
      <c r="Y74" s="500" t="s">
        <v>2059</v>
      </c>
      <c r="Z74" s="4"/>
      <c r="AA74" s="4"/>
      <c r="AB74" s="4"/>
      <c r="AC74" s="4"/>
      <c r="AD74" s="4"/>
    </row>
    <row r="75" spans="1:30" ht="14.25" customHeight="1">
      <c r="A75" s="768" t="str">
        <f>Напрями!$A$75</f>
        <v>217M</v>
      </c>
      <c r="B75" s="4"/>
      <c r="C75" s="768" t="s">
        <v>2059</v>
      </c>
      <c r="D75" s="508" t="s">
        <v>742</v>
      </c>
      <c r="E75" s="515">
        <v>1235</v>
      </c>
      <c r="F75" s="516" t="s">
        <v>765</v>
      </c>
      <c r="G75" s="517">
        <v>15</v>
      </c>
      <c r="H75" s="517">
        <v>1</v>
      </c>
      <c r="I75" s="518">
        <v>18525</v>
      </c>
      <c r="J75" s="518">
        <v>725.48975453773767</v>
      </c>
      <c r="K75" s="500"/>
      <c r="L75" s="4"/>
      <c r="M75" s="4"/>
      <c r="N75" s="4"/>
      <c r="O75" s="4"/>
      <c r="P75" s="519"/>
      <c r="Q75" s="519">
        <v>18525</v>
      </c>
      <c r="R75" s="519"/>
      <c r="S75" s="519">
        <v>18525</v>
      </c>
      <c r="T75" s="519"/>
      <c r="U75" s="519">
        <v>725.48975453773767</v>
      </c>
      <c r="V75" s="519"/>
      <c r="W75" s="519">
        <v>725.48975453773767</v>
      </c>
      <c r="X75" s="500"/>
      <c r="Y75" s="500" t="s">
        <v>2059</v>
      </c>
      <c r="Z75" s="4"/>
      <c r="AA75" s="4"/>
      <c r="AB75" s="4"/>
      <c r="AC75" s="4"/>
      <c r="AD75" s="4"/>
    </row>
    <row r="76" spans="1:30" ht="14.25" customHeight="1">
      <c r="A76" s="768" t="str">
        <f>Напрями!$A$75</f>
        <v>217M</v>
      </c>
      <c r="B76" s="4"/>
      <c r="C76" s="768" t="s">
        <v>2059</v>
      </c>
      <c r="D76" s="508" t="s">
        <v>766</v>
      </c>
      <c r="E76" s="515">
        <v>300</v>
      </c>
      <c r="F76" s="516" t="s">
        <v>2126</v>
      </c>
      <c r="G76" s="517">
        <v>54</v>
      </c>
      <c r="H76" s="517">
        <v>1</v>
      </c>
      <c r="I76" s="518">
        <v>16200</v>
      </c>
      <c r="J76" s="518">
        <v>634.4363845350257</v>
      </c>
      <c r="K76" s="500"/>
      <c r="L76" s="4"/>
      <c r="M76" s="4"/>
      <c r="N76" s="4"/>
      <c r="O76" s="4"/>
      <c r="P76" s="519"/>
      <c r="Q76" s="519">
        <v>16200</v>
      </c>
      <c r="R76" s="519"/>
      <c r="S76" s="519">
        <v>16200</v>
      </c>
      <c r="T76" s="519"/>
      <c r="U76" s="519">
        <v>634.4363845350257</v>
      </c>
      <c r="V76" s="519"/>
      <c r="W76" s="519">
        <v>634.4363845350257</v>
      </c>
      <c r="X76" s="500"/>
      <c r="Y76" s="500" t="s">
        <v>2059</v>
      </c>
      <c r="Z76" s="4"/>
      <c r="AA76" s="4"/>
      <c r="AB76" s="4"/>
      <c r="AC76" s="4"/>
      <c r="AD76" s="4"/>
    </row>
    <row r="77" spans="1:30" ht="14.25" customHeight="1">
      <c r="A77" s="768" t="str">
        <f>Напрями!$A$75</f>
        <v>217M</v>
      </c>
      <c r="B77" s="4"/>
      <c r="C77" s="768" t="s">
        <v>2059</v>
      </c>
      <c r="D77" s="508" t="s">
        <v>763</v>
      </c>
      <c r="E77" s="515">
        <v>6500</v>
      </c>
      <c r="F77" s="516" t="s">
        <v>764</v>
      </c>
      <c r="G77" s="517">
        <v>3</v>
      </c>
      <c r="H77" s="517">
        <v>1</v>
      </c>
      <c r="I77" s="518">
        <v>19500</v>
      </c>
      <c r="J77" s="518">
        <v>763.67342582919753</v>
      </c>
      <c r="K77" s="500"/>
      <c r="L77" s="4"/>
      <c r="M77" s="4"/>
      <c r="N77" s="4"/>
      <c r="O77" s="4"/>
      <c r="P77" s="519"/>
      <c r="Q77" s="519">
        <v>19500</v>
      </c>
      <c r="R77" s="519"/>
      <c r="S77" s="519">
        <v>19500</v>
      </c>
      <c r="T77" s="519"/>
      <c r="U77" s="519">
        <v>763.67342582919753</v>
      </c>
      <c r="V77" s="519"/>
      <c r="W77" s="519">
        <v>763.67342582919753</v>
      </c>
      <c r="X77" s="500"/>
      <c r="Y77" s="500" t="s">
        <v>2059</v>
      </c>
      <c r="Z77" s="4"/>
      <c r="AA77" s="4"/>
      <c r="AB77" s="4"/>
      <c r="AC77" s="4"/>
      <c r="AD77" s="4"/>
    </row>
    <row r="78" spans="1:30" ht="14.25" customHeight="1">
      <c r="A78" s="768" t="str">
        <f>Напрями!$A$75</f>
        <v>217M</v>
      </c>
      <c r="B78" s="4"/>
      <c r="C78" s="768" t="s">
        <v>2059</v>
      </c>
      <c r="D78" s="508" t="s">
        <v>767</v>
      </c>
      <c r="E78" s="515">
        <v>1175</v>
      </c>
      <c r="F78" s="516" t="s">
        <v>2126</v>
      </c>
      <c r="G78" s="517">
        <v>42.5</v>
      </c>
      <c r="H78" s="517">
        <v>1</v>
      </c>
      <c r="I78" s="518">
        <v>49937.5</v>
      </c>
      <c r="J78" s="518">
        <f>1955.689318069-503</f>
        <v>1452.6893180689999</v>
      </c>
      <c r="K78" s="500"/>
      <c r="L78" s="4"/>
      <c r="M78" s="4"/>
      <c r="N78" s="4"/>
      <c r="O78" s="4"/>
      <c r="P78" s="519"/>
      <c r="Q78" s="519">
        <v>49937.5</v>
      </c>
      <c r="R78" s="519"/>
      <c r="S78" s="519">
        <v>49937.5</v>
      </c>
      <c r="T78" s="519"/>
      <c r="U78" s="519">
        <v>1955.6893180690029</v>
      </c>
      <c r="V78" s="519"/>
      <c r="W78" s="519">
        <v>1955.6893180690029</v>
      </c>
      <c r="X78" s="500"/>
      <c r="Y78" s="500" t="s">
        <v>2059</v>
      </c>
      <c r="Z78" s="4"/>
      <c r="AA78" s="4"/>
      <c r="AB78" s="4"/>
      <c r="AC78" s="4"/>
      <c r="AD78" s="4"/>
    </row>
    <row r="79" spans="1:30" ht="14.25" customHeight="1">
      <c r="A79" s="768" t="str">
        <f>Напрями!$A$75</f>
        <v>217M</v>
      </c>
      <c r="B79" s="4"/>
      <c r="C79" s="768" t="s">
        <v>2059</v>
      </c>
      <c r="D79" s="508" t="s">
        <v>713</v>
      </c>
      <c r="E79" s="515">
        <v>100</v>
      </c>
      <c r="F79" s="516" t="s">
        <v>2126</v>
      </c>
      <c r="G79" s="517">
        <v>17</v>
      </c>
      <c r="H79" s="517">
        <v>1</v>
      </c>
      <c r="I79" s="518">
        <v>1700</v>
      </c>
      <c r="J79" s="518">
        <v>66.576657636391587</v>
      </c>
      <c r="K79" s="500"/>
      <c r="L79" s="4"/>
      <c r="M79" s="4"/>
      <c r="N79" s="4"/>
      <c r="O79" s="4"/>
      <c r="P79" s="519"/>
      <c r="Q79" s="519">
        <v>1700</v>
      </c>
      <c r="R79" s="519"/>
      <c r="S79" s="519">
        <v>1700</v>
      </c>
      <c r="T79" s="519"/>
      <c r="U79" s="519">
        <v>66.576657636391587</v>
      </c>
      <c r="V79" s="519"/>
      <c r="W79" s="519">
        <v>66.576657636391587</v>
      </c>
      <c r="X79" s="500"/>
      <c r="Y79" s="500" t="s">
        <v>2059</v>
      </c>
      <c r="Z79" s="4"/>
      <c r="AA79" s="4"/>
      <c r="AB79" s="4"/>
      <c r="AC79" s="4"/>
      <c r="AD79" s="4"/>
    </row>
    <row r="80" spans="1:30" ht="14.25" customHeight="1">
      <c r="A80" s="768" t="str">
        <f>Напрями!$A$75</f>
        <v>217M</v>
      </c>
      <c r="B80" s="4"/>
      <c r="C80" s="768" t="s">
        <v>2059</v>
      </c>
      <c r="D80" s="508" t="s">
        <v>717</v>
      </c>
      <c r="E80" s="520">
        <v>0.1</v>
      </c>
      <c r="F80" s="516" t="s">
        <v>768</v>
      </c>
      <c r="G80" s="517">
        <v>1</v>
      </c>
      <c r="H80" s="517">
        <v>1</v>
      </c>
      <c r="I80" s="518">
        <v>10586.25</v>
      </c>
      <c r="J80" s="518">
        <v>414.58655406073552</v>
      </c>
      <c r="K80" s="500"/>
      <c r="L80" s="4"/>
      <c r="M80" s="4"/>
      <c r="N80" s="4"/>
      <c r="O80" s="4"/>
      <c r="P80" s="519"/>
      <c r="Q80" s="519">
        <v>10586.25</v>
      </c>
      <c r="R80" s="519"/>
      <c r="S80" s="519">
        <v>10586.25</v>
      </c>
      <c r="T80" s="519"/>
      <c r="U80" s="519">
        <v>414.58655406073552</v>
      </c>
      <c r="V80" s="519"/>
      <c r="W80" s="519">
        <v>414.58655406073552</v>
      </c>
      <c r="X80" s="500"/>
      <c r="Y80" s="500" t="s">
        <v>2059</v>
      </c>
      <c r="Z80" s="4"/>
      <c r="AA80" s="4"/>
      <c r="AB80" s="4"/>
      <c r="AC80" s="4"/>
      <c r="AD80" s="4"/>
    </row>
    <row r="81" spans="1:30" ht="14.25" customHeight="1">
      <c r="A81" s="768" t="str">
        <f>Напрями!$A$75</f>
        <v>217M</v>
      </c>
      <c r="B81" s="4"/>
      <c r="C81" s="768" t="s">
        <v>2059</v>
      </c>
      <c r="D81" s="508" t="s">
        <v>2135</v>
      </c>
      <c r="E81" s="515">
        <v>6420.3883939999996</v>
      </c>
      <c r="F81" s="516" t="s">
        <v>2132</v>
      </c>
      <c r="G81" s="517">
        <v>1</v>
      </c>
      <c r="H81" s="517">
        <v>2</v>
      </c>
      <c r="I81" s="518">
        <v>12840.776787999999</v>
      </c>
      <c r="J81" s="518">
        <v>502.87999999999994</v>
      </c>
      <c r="K81" s="500"/>
      <c r="L81" s="4"/>
      <c r="M81" s="4"/>
      <c r="N81" s="4"/>
      <c r="O81" s="4"/>
      <c r="P81" s="519"/>
      <c r="Q81" s="519"/>
      <c r="R81" s="519">
        <v>12840.776787999999</v>
      </c>
      <c r="S81" s="519">
        <v>12840.776787999999</v>
      </c>
      <c r="T81" s="519"/>
      <c r="U81" s="519"/>
      <c r="V81" s="519">
        <v>502.87999999999994</v>
      </c>
      <c r="W81" s="519">
        <v>502.87999999999994</v>
      </c>
      <c r="X81" s="500"/>
      <c r="Y81" s="500" t="s">
        <v>2059</v>
      </c>
      <c r="Z81" s="4"/>
      <c r="AA81" s="4"/>
      <c r="AB81" s="4"/>
      <c r="AC81" s="4"/>
      <c r="AD81" s="4"/>
    </row>
    <row r="82" spans="1:30" ht="14.25" customHeight="1">
      <c r="A82" s="768" t="str">
        <f>Напрями!$A$75</f>
        <v>217M</v>
      </c>
      <c r="B82" s="4"/>
      <c r="C82" s="768" t="s">
        <v>2059</v>
      </c>
      <c r="D82" s="521" t="s">
        <v>770</v>
      </c>
      <c r="E82" s="521"/>
      <c r="F82" s="521"/>
      <c r="G82" s="521"/>
      <c r="H82" s="521"/>
      <c r="I82" s="522">
        <v>166730.08769699998</v>
      </c>
      <c r="J82" s="522">
        <f>SUM(J71:J81)</f>
        <v>6026.6070389933584</v>
      </c>
      <c r="K82" s="500"/>
      <c r="L82" s="4"/>
      <c r="M82" s="4"/>
      <c r="N82" s="4"/>
      <c r="O82" s="4"/>
      <c r="P82" s="523">
        <v>0</v>
      </c>
      <c r="Q82" s="523">
        <v>153889.31090899999</v>
      </c>
      <c r="R82" s="523">
        <v>12840.776787999999</v>
      </c>
      <c r="S82" s="523">
        <v>166730.08769699998</v>
      </c>
      <c r="T82" s="523">
        <v>0</v>
      </c>
      <c r="U82" s="523">
        <v>6026.727038993361</v>
      </c>
      <c r="V82" s="523">
        <v>502.87999999999994</v>
      </c>
      <c r="W82" s="523">
        <v>6529.6070389933611</v>
      </c>
      <c r="X82" s="349" t="s">
        <v>950</v>
      </c>
      <c r="Y82" s="500" t="s">
        <v>2059</v>
      </c>
      <c r="Z82" s="4"/>
      <c r="AA82" s="4"/>
      <c r="AB82" s="4"/>
      <c r="AC82" s="4"/>
      <c r="AD82" s="4"/>
    </row>
    <row r="83" spans="1:30" ht="14.25" customHeight="1">
      <c r="A83" s="768"/>
      <c r="B83" s="4"/>
      <c r="C83" s="768"/>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768"/>
      <c r="B84" s="96"/>
      <c r="C84" s="768" t="s">
        <v>1838</v>
      </c>
      <c r="D84" s="790" t="s">
        <v>657</v>
      </c>
      <c r="E84" s="791"/>
      <c r="F84" s="791"/>
      <c r="G84" s="791"/>
      <c r="H84" s="791"/>
      <c r="I84" s="791"/>
      <c r="J84" s="791"/>
      <c r="K84" s="96"/>
      <c r="L84" s="792"/>
      <c r="M84" s="792"/>
      <c r="N84" s="96"/>
      <c r="O84" s="96"/>
      <c r="P84" s="96"/>
      <c r="Q84" s="96"/>
      <c r="R84" s="96"/>
      <c r="S84" s="96"/>
      <c r="T84" s="96"/>
      <c r="U84" s="96"/>
      <c r="V84" s="96"/>
      <c r="W84" s="481"/>
      <c r="X84" s="772"/>
      <c r="Y84" s="96"/>
      <c r="Z84" s="96"/>
      <c r="AA84" s="96"/>
      <c r="AB84" s="96"/>
      <c r="AC84" s="96"/>
      <c r="AD84" s="96"/>
    </row>
    <row r="85" spans="1:30" ht="14.25" customHeight="1">
      <c r="A85" s="768"/>
      <c r="B85" s="96"/>
      <c r="C85" s="768" t="s">
        <v>1838</v>
      </c>
      <c r="D85" s="524" t="s">
        <v>2075</v>
      </c>
      <c r="E85" s="525" t="s">
        <v>394</v>
      </c>
      <c r="F85" s="525" t="s">
        <v>2076</v>
      </c>
      <c r="G85" s="525" t="s">
        <v>2077</v>
      </c>
      <c r="H85" s="478" t="s">
        <v>2078</v>
      </c>
      <c r="I85" s="478" t="s">
        <v>2136</v>
      </c>
      <c r="J85" s="479" t="s">
        <v>2137</v>
      </c>
      <c r="K85" s="492"/>
      <c r="L85" s="480"/>
      <c r="M85" s="480"/>
      <c r="N85" s="96"/>
      <c r="O85" s="96"/>
      <c r="P85" s="96"/>
      <c r="Q85" s="96"/>
      <c r="R85" s="96"/>
      <c r="S85" s="96"/>
      <c r="T85" s="96"/>
      <c r="U85" s="96"/>
      <c r="V85" s="96"/>
      <c r="W85" s="481"/>
      <c r="X85" s="772"/>
      <c r="Y85" s="96"/>
      <c r="Z85" s="96"/>
      <c r="AA85" s="96"/>
      <c r="AB85" s="96"/>
      <c r="AC85" s="96"/>
      <c r="AD85" s="96"/>
    </row>
    <row r="86" spans="1:30" ht="14.25" customHeight="1">
      <c r="A86" s="768" t="str">
        <f>Напрями!$A$64</f>
        <v>205M</v>
      </c>
      <c r="B86" s="96"/>
      <c r="C86" s="768" t="s">
        <v>1838</v>
      </c>
      <c r="D86" s="526" t="s">
        <v>2138</v>
      </c>
      <c r="E86" s="527" t="s">
        <v>2139</v>
      </c>
      <c r="F86" s="528">
        <v>740</v>
      </c>
      <c r="G86" s="527">
        <v>1</v>
      </c>
      <c r="H86" s="529">
        <v>1</v>
      </c>
      <c r="I86" s="483">
        <f t="shared" ref="I86:I88" si="0">F86*H86</f>
        <v>740</v>
      </c>
      <c r="J86" s="483">
        <f t="shared" ref="J86:J90" si="1">I86/25.53</f>
        <v>28.985507246376809</v>
      </c>
      <c r="K86" s="492">
        <f t="shared" ref="K86:K88" si="2">J86*N86</f>
        <v>20289.855072463768</v>
      </c>
      <c r="L86" s="484"/>
      <c r="M86" s="485">
        <v>0</v>
      </c>
      <c r="N86" s="485">
        <v>700</v>
      </c>
      <c r="O86" s="496">
        <v>560</v>
      </c>
      <c r="P86" s="486">
        <v>0</v>
      </c>
      <c r="Q86" s="486">
        <v>547600</v>
      </c>
      <c r="R86" s="486">
        <v>0</v>
      </c>
      <c r="S86" s="487">
        <v>547600</v>
      </c>
      <c r="T86" s="487">
        <v>0</v>
      </c>
      <c r="U86" s="487">
        <v>21445.516306875314</v>
      </c>
      <c r="V86" s="487">
        <v>0</v>
      </c>
      <c r="W86" s="481">
        <v>21445.516306875314</v>
      </c>
      <c r="X86" s="772" t="s">
        <v>977</v>
      </c>
      <c r="Y86" s="96" t="s">
        <v>1838</v>
      </c>
      <c r="Z86" s="96"/>
      <c r="AA86" s="96"/>
      <c r="AB86" s="96"/>
      <c r="AC86" s="96"/>
      <c r="AD86" s="96"/>
    </row>
    <row r="87" spans="1:30" ht="14.25" customHeight="1">
      <c r="A87" s="768" t="str">
        <f>Напрями!$A$64</f>
        <v>205M</v>
      </c>
      <c r="B87" s="96"/>
      <c r="C87" s="768" t="s">
        <v>1838</v>
      </c>
      <c r="D87" s="526" t="s">
        <v>2140</v>
      </c>
      <c r="E87" s="527"/>
      <c r="F87" s="528">
        <v>1460</v>
      </c>
      <c r="G87" s="527">
        <v>1</v>
      </c>
      <c r="H87" s="529">
        <v>0.25</v>
      </c>
      <c r="I87" s="483">
        <f t="shared" si="0"/>
        <v>365</v>
      </c>
      <c r="J87" s="483">
        <f t="shared" si="1"/>
        <v>14.296905601253426</v>
      </c>
      <c r="K87" s="492">
        <f t="shared" si="2"/>
        <v>10007.833920877398</v>
      </c>
      <c r="L87" s="484"/>
      <c r="M87" s="485">
        <v>0</v>
      </c>
      <c r="N87" s="485">
        <v>700</v>
      </c>
      <c r="O87" s="496">
        <v>140</v>
      </c>
      <c r="P87" s="486">
        <v>0</v>
      </c>
      <c r="Q87" s="486">
        <v>1080400</v>
      </c>
      <c r="R87" s="486">
        <v>0</v>
      </c>
      <c r="S87" s="487">
        <v>1080400</v>
      </c>
      <c r="T87" s="487">
        <v>0</v>
      </c>
      <c r="U87" s="487">
        <v>42311.424064916158</v>
      </c>
      <c r="V87" s="487">
        <v>0</v>
      </c>
      <c r="W87" s="481">
        <v>42311.424064916158</v>
      </c>
      <c r="X87" s="349" t="s">
        <v>877</v>
      </c>
      <c r="Y87" s="96" t="s">
        <v>1838</v>
      </c>
      <c r="Z87" s="96"/>
      <c r="AA87" s="96"/>
      <c r="AB87" s="96"/>
      <c r="AC87" s="96"/>
      <c r="AD87" s="96"/>
    </row>
    <row r="88" spans="1:30" ht="14.25" customHeight="1">
      <c r="A88" s="768" t="str">
        <f>Напрями!$A$64</f>
        <v>205M</v>
      </c>
      <c r="B88" s="96"/>
      <c r="C88" s="768" t="s">
        <v>1838</v>
      </c>
      <c r="D88" s="104" t="s">
        <v>2101</v>
      </c>
      <c r="E88" s="482" t="s">
        <v>2082</v>
      </c>
      <c r="F88" s="104">
        <v>325</v>
      </c>
      <c r="G88" s="527"/>
      <c r="H88" s="529">
        <v>0.6</v>
      </c>
      <c r="I88" s="483">
        <f t="shared" si="0"/>
        <v>195</v>
      </c>
      <c r="J88" s="483">
        <f t="shared" si="1"/>
        <v>7.6380728554641593</v>
      </c>
      <c r="K88" s="492">
        <f t="shared" si="2"/>
        <v>5346.6509988249118</v>
      </c>
      <c r="L88" s="484"/>
      <c r="M88" s="485"/>
      <c r="N88" s="485">
        <v>700</v>
      </c>
      <c r="O88" s="485"/>
      <c r="P88" s="486"/>
      <c r="Q88" s="486"/>
      <c r="R88" s="486"/>
      <c r="S88" s="487"/>
      <c r="T88" s="487"/>
      <c r="U88" s="487"/>
      <c r="V88" s="487"/>
      <c r="W88" s="481"/>
      <c r="X88" s="793"/>
      <c r="Y88" s="96"/>
      <c r="Z88" s="96"/>
      <c r="AA88" s="96"/>
      <c r="AB88" s="96"/>
      <c r="AC88" s="96"/>
      <c r="AD88" s="96"/>
    </row>
    <row r="89" spans="1:30" ht="14.25" customHeight="1">
      <c r="A89" s="768" t="str">
        <f>Напрями!$A$64</f>
        <v>205M</v>
      </c>
      <c r="B89" s="96"/>
      <c r="C89" s="768" t="s">
        <v>1838</v>
      </c>
      <c r="D89" s="530" t="s">
        <v>2141</v>
      </c>
      <c r="E89" s="527"/>
      <c r="F89" s="528"/>
      <c r="G89" s="527"/>
      <c r="H89" s="531"/>
      <c r="I89" s="483">
        <f>SUM(I86:I88)*15%</f>
        <v>195</v>
      </c>
      <c r="J89" s="483">
        <f t="shared" si="1"/>
        <v>7.6380728554641593</v>
      </c>
      <c r="K89" s="532">
        <f>SUM(K86:K88)*15%</f>
        <v>5346.6509988249109</v>
      </c>
      <c r="L89" s="484"/>
      <c r="M89" s="485"/>
      <c r="N89" s="485"/>
      <c r="O89" s="485"/>
      <c r="P89" s="486"/>
      <c r="Q89" s="486"/>
      <c r="R89" s="486"/>
      <c r="S89" s="487"/>
      <c r="T89" s="487"/>
      <c r="U89" s="487"/>
      <c r="V89" s="487"/>
      <c r="W89" s="481"/>
      <c r="X89" s="793"/>
      <c r="Y89" s="96"/>
      <c r="Z89" s="96"/>
      <c r="AA89" s="96"/>
      <c r="AB89" s="96"/>
      <c r="AC89" s="96"/>
      <c r="AD89" s="96"/>
    </row>
    <row r="90" spans="1:30" ht="14.25" customHeight="1">
      <c r="A90" s="768" t="str">
        <f>Напрями!$A$64</f>
        <v>205M</v>
      </c>
      <c r="B90" s="96"/>
      <c r="C90" s="768" t="s">
        <v>1838</v>
      </c>
      <c r="D90" s="533" t="s">
        <v>2142</v>
      </c>
      <c r="E90" s="534"/>
      <c r="F90" s="535"/>
      <c r="G90" s="534"/>
      <c r="H90" s="536"/>
      <c r="I90" s="537">
        <f>SUM(I86:I88)*10%</f>
        <v>130</v>
      </c>
      <c r="J90" s="537">
        <f t="shared" si="1"/>
        <v>5.0920485703094398</v>
      </c>
      <c r="K90" s="538">
        <f>SUM(K86:K88)*10%</f>
        <v>3564.4339992166078</v>
      </c>
      <c r="L90" s="484"/>
      <c r="M90" s="485"/>
      <c r="N90" s="485"/>
      <c r="O90" s="485"/>
      <c r="P90" s="486"/>
      <c r="Q90" s="486"/>
      <c r="R90" s="486"/>
      <c r="S90" s="487"/>
      <c r="T90" s="487"/>
      <c r="U90" s="487"/>
      <c r="V90" s="487"/>
      <c r="W90" s="481"/>
      <c r="X90" s="793"/>
      <c r="Y90" s="96"/>
      <c r="Z90" s="96"/>
      <c r="AA90" s="96"/>
      <c r="AB90" s="96"/>
      <c r="AC90" s="96"/>
      <c r="AD90" s="96"/>
    </row>
    <row r="91" spans="1:30" ht="14.25" customHeight="1">
      <c r="A91" s="768"/>
      <c r="B91" s="96"/>
      <c r="C91" s="768"/>
      <c r="D91" s="539"/>
      <c r="E91" s="540"/>
      <c r="F91" s="541"/>
      <c r="G91" s="540"/>
      <c r="H91" s="542"/>
      <c r="I91" s="543">
        <f t="shared" ref="I91:J91" si="3">SUM(I86:I90)</f>
        <v>1625</v>
      </c>
      <c r="J91" s="543">
        <f t="shared" si="3"/>
        <v>63.650607128867989</v>
      </c>
      <c r="K91" s="492"/>
      <c r="L91" s="484"/>
      <c r="M91" s="485"/>
      <c r="N91" s="485"/>
      <c r="O91" s="485"/>
      <c r="P91" s="486"/>
      <c r="Q91" s="486"/>
      <c r="R91" s="486"/>
      <c r="S91" s="487"/>
      <c r="T91" s="487"/>
      <c r="U91" s="487"/>
      <c r="V91" s="487"/>
      <c r="W91" s="481"/>
      <c r="X91" s="793"/>
      <c r="Y91" s="96"/>
      <c r="Z91" s="96"/>
      <c r="AA91" s="96"/>
      <c r="AB91" s="96"/>
      <c r="AC91" s="96"/>
      <c r="AD91" s="96"/>
    </row>
    <row r="92" spans="1:30" ht="14.25" customHeight="1">
      <c r="A92" s="768"/>
      <c r="B92" s="96"/>
      <c r="C92" s="768"/>
      <c r="D92" s="794"/>
      <c r="E92" s="795"/>
      <c r="F92" s="796"/>
      <c r="G92" s="795"/>
      <c r="H92" s="795"/>
      <c r="I92" s="797">
        <v>0</v>
      </c>
      <c r="J92" s="797">
        <v>0</v>
      </c>
      <c r="K92" s="492"/>
      <c r="L92" s="484"/>
      <c r="M92" s="485">
        <v>0</v>
      </c>
      <c r="N92" s="485">
        <v>7400</v>
      </c>
      <c r="O92" s="485">
        <v>0</v>
      </c>
      <c r="P92" s="486">
        <v>0</v>
      </c>
      <c r="Q92" s="486">
        <v>0</v>
      </c>
      <c r="R92" s="486">
        <v>0</v>
      </c>
      <c r="S92" s="487">
        <v>0</v>
      </c>
      <c r="T92" s="487">
        <v>0</v>
      </c>
      <c r="U92" s="487">
        <v>0</v>
      </c>
      <c r="V92" s="487">
        <v>0</v>
      </c>
      <c r="W92" s="481">
        <v>0</v>
      </c>
      <c r="X92" s="772"/>
      <c r="Y92" s="96" t="s">
        <v>1838</v>
      </c>
      <c r="Z92" s="96"/>
      <c r="AA92" s="96"/>
      <c r="AB92" s="96"/>
      <c r="AC92" s="96"/>
      <c r="AD92" s="96"/>
    </row>
    <row r="93" spans="1:30" ht="14.25" customHeight="1">
      <c r="A93" s="768" t="str">
        <f>Напрями!$A$65</f>
        <v>206M</v>
      </c>
      <c r="B93" s="96"/>
      <c r="C93" s="768" t="s">
        <v>1838</v>
      </c>
      <c r="D93" s="530" t="s">
        <v>2143</v>
      </c>
      <c r="E93" s="527"/>
      <c r="F93" s="544"/>
      <c r="G93" s="527"/>
      <c r="H93" s="527"/>
      <c r="I93" s="483">
        <v>150</v>
      </c>
      <c r="J93" s="545">
        <v>5.8744109679169041</v>
      </c>
      <c r="K93" s="492">
        <f t="shared" ref="K93:K94" si="4">J93*N93</f>
        <v>43470.641162585089</v>
      </c>
      <c r="L93" s="484"/>
      <c r="M93" s="485">
        <v>0</v>
      </c>
      <c r="N93" s="485">
        <v>7400</v>
      </c>
      <c r="O93" s="496">
        <v>6000</v>
      </c>
      <c r="P93" s="486">
        <v>0</v>
      </c>
      <c r="Q93" s="486">
        <v>1110000</v>
      </c>
      <c r="R93" s="486">
        <v>0</v>
      </c>
      <c r="S93" s="487">
        <v>1110000</v>
      </c>
      <c r="T93" s="487">
        <v>0</v>
      </c>
      <c r="U93" s="487">
        <v>43470.641162585096</v>
      </c>
      <c r="V93" s="487">
        <v>0</v>
      </c>
      <c r="W93" s="481">
        <v>43470.641162585096</v>
      </c>
      <c r="X93" s="349" t="s">
        <v>878</v>
      </c>
      <c r="Y93" s="96" t="s">
        <v>1838</v>
      </c>
      <c r="Z93" s="96"/>
      <c r="AA93" s="96"/>
      <c r="AB93" s="96"/>
      <c r="AC93" s="96"/>
      <c r="AD93" s="96"/>
    </row>
    <row r="94" spans="1:30" ht="14.25" customHeight="1">
      <c r="A94" s="768" t="str">
        <f>Напрями!$A$65</f>
        <v>206M</v>
      </c>
      <c r="B94" s="96"/>
      <c r="C94" s="768"/>
      <c r="D94" s="104" t="s">
        <v>2101</v>
      </c>
      <c r="E94" s="482" t="s">
        <v>2082</v>
      </c>
      <c r="F94" s="104">
        <v>325</v>
      </c>
      <c r="G94" s="527"/>
      <c r="H94" s="527">
        <v>0.3</v>
      </c>
      <c r="I94" s="483">
        <f>F94*H94</f>
        <v>97.5</v>
      </c>
      <c r="J94" s="545">
        <f t="shared" ref="J94:J96" si="5">I94/25.53</f>
        <v>3.8190364277320796</v>
      </c>
      <c r="K94" s="492">
        <f t="shared" si="4"/>
        <v>28260.869565217388</v>
      </c>
      <c r="L94" s="484"/>
      <c r="M94" s="485"/>
      <c r="N94" s="485">
        <v>7400</v>
      </c>
      <c r="O94" s="496">
        <v>6000</v>
      </c>
      <c r="P94" s="486"/>
      <c r="Q94" s="486"/>
      <c r="R94" s="486"/>
      <c r="S94" s="487"/>
      <c r="T94" s="487"/>
      <c r="U94" s="487"/>
      <c r="V94" s="487"/>
      <c r="W94" s="481"/>
      <c r="X94" s="793"/>
      <c r="Y94" s="96"/>
      <c r="Z94" s="96"/>
      <c r="AA94" s="96"/>
      <c r="AB94" s="96"/>
      <c r="AC94" s="96"/>
      <c r="AD94" s="96"/>
    </row>
    <row r="95" spans="1:30" ht="14.25" customHeight="1">
      <c r="A95" s="768" t="str">
        <f>Напрями!$A$65</f>
        <v>206M</v>
      </c>
      <c r="B95" s="96"/>
      <c r="C95" s="768" t="s">
        <v>1838</v>
      </c>
      <c r="D95" s="530" t="s">
        <v>2141</v>
      </c>
      <c r="E95" s="527"/>
      <c r="F95" s="544"/>
      <c r="G95" s="527"/>
      <c r="H95" s="527"/>
      <c r="I95" s="483">
        <f>SUM(I93:I94)*15%</f>
        <v>37.125</v>
      </c>
      <c r="J95" s="483">
        <f t="shared" si="5"/>
        <v>1.4541715628672149</v>
      </c>
      <c r="K95" s="532">
        <f>SUM(K93:K94)*15%</f>
        <v>10759.726609170371</v>
      </c>
      <c r="L95" s="484"/>
      <c r="M95" s="485">
        <v>0</v>
      </c>
      <c r="N95" s="485">
        <v>7400</v>
      </c>
      <c r="O95" s="496">
        <v>6000</v>
      </c>
      <c r="P95" s="486">
        <v>0</v>
      </c>
      <c r="Q95" s="486">
        <v>273800</v>
      </c>
      <c r="R95" s="486">
        <v>0</v>
      </c>
      <c r="S95" s="487">
        <v>273800</v>
      </c>
      <c r="T95" s="487">
        <v>0</v>
      </c>
      <c r="U95" s="487">
        <v>10722.758153437657</v>
      </c>
      <c r="V95" s="487">
        <v>0</v>
      </c>
      <c r="W95" s="481">
        <v>10722.758153437657</v>
      </c>
      <c r="X95" s="772" t="s">
        <v>875</v>
      </c>
      <c r="Y95" s="96" t="s">
        <v>1838</v>
      </c>
      <c r="Z95" s="96"/>
      <c r="AA95" s="96"/>
      <c r="AB95" s="96"/>
      <c r="AC95" s="96"/>
      <c r="AD95" s="96"/>
    </row>
    <row r="96" spans="1:30" ht="14.25" customHeight="1">
      <c r="A96" s="768" t="str">
        <f>Напрями!$A$65</f>
        <v>206M</v>
      </c>
      <c r="B96" s="96"/>
      <c r="C96" s="768" t="s">
        <v>1838</v>
      </c>
      <c r="D96" s="530" t="s">
        <v>2142</v>
      </c>
      <c r="E96" s="527"/>
      <c r="F96" s="544"/>
      <c r="G96" s="527"/>
      <c r="H96" s="527"/>
      <c r="I96" s="483">
        <f>SUM(I93:I94)*10%</f>
        <v>24.75</v>
      </c>
      <c r="J96" s="483">
        <f t="shared" si="5"/>
        <v>0.96944770857814333</v>
      </c>
      <c r="K96" s="532">
        <f>SUM(K93:K94)*10%</f>
        <v>7173.1510727802488</v>
      </c>
      <c r="L96" s="484"/>
      <c r="M96" s="485">
        <v>0</v>
      </c>
      <c r="N96" s="485">
        <v>7400</v>
      </c>
      <c r="O96" s="496">
        <v>6000</v>
      </c>
      <c r="P96" s="486">
        <v>0</v>
      </c>
      <c r="Q96" s="486">
        <v>410700</v>
      </c>
      <c r="R96" s="486">
        <v>0</v>
      </c>
      <c r="S96" s="487">
        <v>410700</v>
      </c>
      <c r="T96" s="487">
        <v>0</v>
      </c>
      <c r="U96" s="487">
        <v>16084.137230156484</v>
      </c>
      <c r="V96" s="487">
        <v>0</v>
      </c>
      <c r="W96" s="481">
        <v>16084.137230156484</v>
      </c>
      <c r="X96" s="772" t="s">
        <v>881</v>
      </c>
      <c r="Y96" s="96" t="s">
        <v>1838</v>
      </c>
      <c r="Z96" s="96"/>
      <c r="AA96" s="96"/>
      <c r="AB96" s="96"/>
      <c r="AC96" s="96"/>
      <c r="AD96" s="96"/>
    </row>
    <row r="97" spans="1:30" ht="14.25" customHeight="1">
      <c r="A97" s="768" t="str">
        <f>Напрями!$A$65</f>
        <v>206M</v>
      </c>
      <c r="B97" s="96"/>
      <c r="C97" s="768" t="s">
        <v>1838</v>
      </c>
      <c r="D97" s="546" t="s">
        <v>1047</v>
      </c>
      <c r="E97" s="547"/>
      <c r="F97" s="547"/>
      <c r="G97" s="547"/>
      <c r="H97" s="547"/>
      <c r="I97" s="488">
        <f t="shared" ref="I97:J97" si="6">SUM(I93:I96)</f>
        <v>309.375</v>
      </c>
      <c r="J97" s="488">
        <f t="shared" si="6"/>
        <v>12.117066667094342</v>
      </c>
      <c r="K97" s="492"/>
      <c r="L97" s="485"/>
      <c r="M97" s="485">
        <v>0</v>
      </c>
      <c r="N97" s="485">
        <v>7400</v>
      </c>
      <c r="O97" s="496">
        <v>6000</v>
      </c>
      <c r="P97" s="486">
        <v>0</v>
      </c>
      <c r="Q97" s="486">
        <v>3422500</v>
      </c>
      <c r="R97" s="486">
        <v>0</v>
      </c>
      <c r="S97" s="487">
        <v>3422500</v>
      </c>
      <c r="T97" s="487">
        <v>0</v>
      </c>
      <c r="U97" s="487">
        <v>134034.47691797069</v>
      </c>
      <c r="V97" s="487">
        <v>0</v>
      </c>
      <c r="W97" s="491">
        <v>134034.47691797069</v>
      </c>
      <c r="X97" s="772"/>
      <c r="Y97" s="96"/>
      <c r="Z97" s="96"/>
      <c r="AA97" s="96"/>
      <c r="AB97" s="96"/>
      <c r="AC97" s="96"/>
      <c r="AD97" s="96"/>
    </row>
    <row r="98" spans="1:30" ht="14.25" customHeight="1">
      <c r="A98" s="768"/>
      <c r="B98" s="4"/>
      <c r="C98" s="768"/>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4.25" customHeight="1">
      <c r="A99" s="768"/>
      <c r="B99" s="4"/>
      <c r="C99" s="768"/>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768"/>
      <c r="B100" s="769"/>
      <c r="C100" s="768" t="s">
        <v>1855</v>
      </c>
      <c r="D100" s="790" t="s">
        <v>2144</v>
      </c>
      <c r="E100" s="791"/>
      <c r="F100" s="769"/>
      <c r="G100" s="769"/>
      <c r="H100" s="798"/>
      <c r="I100" s="798"/>
      <c r="J100" s="798"/>
      <c r="K100" s="769"/>
      <c r="L100" s="798"/>
      <c r="M100" s="798"/>
      <c r="N100" s="798"/>
      <c r="O100" s="798"/>
      <c r="P100" s="769"/>
      <c r="Q100" s="769"/>
      <c r="R100" s="769"/>
      <c r="S100" s="769"/>
      <c r="T100" s="769"/>
      <c r="U100" s="769"/>
      <c r="V100" s="769"/>
      <c r="W100" s="771"/>
      <c r="X100" s="769"/>
      <c r="Y100" s="769"/>
      <c r="Z100" s="769"/>
      <c r="AA100" s="769"/>
      <c r="AB100" s="769"/>
      <c r="AC100" s="769"/>
      <c r="AD100" s="769"/>
    </row>
    <row r="101" spans="1:30" ht="14.25" customHeight="1">
      <c r="A101" s="768" t="str">
        <f>Напрями!$A$66</f>
        <v>207M</v>
      </c>
      <c r="B101" s="96"/>
      <c r="C101" s="768" t="s">
        <v>1855</v>
      </c>
      <c r="D101" s="524" t="s">
        <v>2075</v>
      </c>
      <c r="E101" s="488" t="s">
        <v>2145</v>
      </c>
      <c r="F101" s="488" t="s">
        <v>933</v>
      </c>
      <c r="G101" s="96"/>
      <c r="H101" s="96"/>
      <c r="I101" s="96"/>
      <c r="J101" s="492"/>
      <c r="K101" s="96"/>
      <c r="L101" s="492"/>
      <c r="M101" s="492"/>
      <c r="N101" s="96"/>
      <c r="O101" s="96"/>
      <c r="P101" s="96"/>
      <c r="Q101" s="96"/>
      <c r="R101" s="96"/>
      <c r="S101" s="96"/>
      <c r="T101" s="96"/>
      <c r="U101" s="96"/>
      <c r="V101" s="96"/>
      <c r="W101" s="481"/>
      <c r="X101" s="772"/>
      <c r="Y101" s="96"/>
      <c r="Z101" s="96"/>
      <c r="AA101" s="96"/>
      <c r="AB101" s="96"/>
      <c r="AC101" s="96"/>
      <c r="AD101" s="96"/>
    </row>
    <row r="102" spans="1:30" ht="14.25" customHeight="1">
      <c r="A102" s="768" t="str">
        <f>Напрями!$A$66</f>
        <v>207M</v>
      </c>
      <c r="B102" s="96"/>
      <c r="C102" s="768" t="s">
        <v>1855</v>
      </c>
      <c r="D102" s="530" t="s">
        <v>2146</v>
      </c>
      <c r="E102" s="483">
        <v>1000</v>
      </c>
      <c r="F102" s="548">
        <v>25534.475000000002</v>
      </c>
      <c r="G102" s="96"/>
      <c r="H102" s="96"/>
      <c r="I102" s="96"/>
      <c r="J102" s="492"/>
      <c r="K102" s="96"/>
      <c r="L102" s="492"/>
      <c r="M102" s="485">
        <v>0</v>
      </c>
      <c r="N102" s="485">
        <v>5</v>
      </c>
      <c r="O102" s="485">
        <v>7</v>
      </c>
      <c r="P102" s="486">
        <v>0</v>
      </c>
      <c r="Q102" s="486">
        <v>127672.37500000001</v>
      </c>
      <c r="R102" s="486">
        <v>178741.32500000001</v>
      </c>
      <c r="S102" s="487">
        <v>306413.7</v>
      </c>
      <c r="T102" s="487">
        <v>0</v>
      </c>
      <c r="U102" s="487">
        <v>5000.0000000000009</v>
      </c>
      <c r="V102" s="487">
        <v>7000</v>
      </c>
      <c r="W102" s="481">
        <v>12000</v>
      </c>
      <c r="X102" s="772" t="s">
        <v>1392</v>
      </c>
      <c r="Y102" s="96" t="s">
        <v>1855</v>
      </c>
      <c r="Z102" s="96"/>
      <c r="AA102" s="96"/>
      <c r="AB102" s="96"/>
      <c r="AC102" s="96"/>
      <c r="AD102" s="96"/>
    </row>
    <row r="103" spans="1:30" ht="14.25" customHeight="1">
      <c r="A103" s="768" t="str">
        <f>Напрями!$A$66</f>
        <v>207M</v>
      </c>
      <c r="B103" s="96"/>
      <c r="C103" s="768" t="s">
        <v>1855</v>
      </c>
      <c r="D103" s="530" t="s">
        <v>2147</v>
      </c>
      <c r="E103" s="483">
        <v>1500</v>
      </c>
      <c r="F103" s="548">
        <v>38301.712500000001</v>
      </c>
      <c r="G103" s="96"/>
      <c r="H103" s="96"/>
      <c r="I103" s="96"/>
      <c r="J103" s="492"/>
      <c r="K103" s="96"/>
      <c r="L103" s="492"/>
      <c r="M103" s="485">
        <v>0</v>
      </c>
      <c r="N103" s="485">
        <v>5</v>
      </c>
      <c r="O103" s="485">
        <v>7</v>
      </c>
      <c r="P103" s="486">
        <v>0</v>
      </c>
      <c r="Q103" s="486">
        <v>191508.5625</v>
      </c>
      <c r="R103" s="486">
        <v>268111.98749999999</v>
      </c>
      <c r="S103" s="487">
        <v>459620.55</v>
      </c>
      <c r="T103" s="487">
        <v>0</v>
      </c>
      <c r="U103" s="487">
        <v>7500</v>
      </c>
      <c r="V103" s="487">
        <v>10500</v>
      </c>
      <c r="W103" s="481">
        <v>18000</v>
      </c>
      <c r="X103" s="772" t="s">
        <v>1392</v>
      </c>
      <c r="Y103" s="96" t="s">
        <v>1855</v>
      </c>
      <c r="Z103" s="96"/>
      <c r="AA103" s="96"/>
      <c r="AB103" s="96"/>
      <c r="AC103" s="96"/>
      <c r="AD103" s="96"/>
    </row>
    <row r="104" spans="1:30" ht="14.25" customHeight="1">
      <c r="A104" s="768" t="str">
        <f>Напрями!$A$66</f>
        <v>207M</v>
      </c>
      <c r="B104" s="96"/>
      <c r="C104" s="768" t="s">
        <v>1855</v>
      </c>
      <c r="D104" s="530" t="s">
        <v>2148</v>
      </c>
      <c r="E104" s="483">
        <v>200</v>
      </c>
      <c r="F104" s="548">
        <v>5106.8950000000004</v>
      </c>
      <c r="G104" s="96" t="s">
        <v>2149</v>
      </c>
      <c r="H104" s="96"/>
      <c r="I104" s="96"/>
      <c r="J104" s="492"/>
      <c r="K104" s="96"/>
      <c r="L104" s="492"/>
      <c r="M104" s="485">
        <v>0</v>
      </c>
      <c r="N104" s="485">
        <v>5</v>
      </c>
      <c r="O104" s="485">
        <v>7</v>
      </c>
      <c r="P104" s="486">
        <v>0</v>
      </c>
      <c r="Q104" s="486">
        <v>25534.475000000002</v>
      </c>
      <c r="R104" s="486">
        <v>35748.264999999999</v>
      </c>
      <c r="S104" s="487">
        <v>61282.740000000005</v>
      </c>
      <c r="T104" s="487">
        <v>0</v>
      </c>
      <c r="U104" s="487">
        <v>1000.0000000000001</v>
      </c>
      <c r="V104" s="487">
        <v>1400</v>
      </c>
      <c r="W104" s="481">
        <v>2400</v>
      </c>
      <c r="X104" s="772" t="s">
        <v>1392</v>
      </c>
      <c r="Y104" s="96" t="s">
        <v>1855</v>
      </c>
      <c r="Z104" s="96"/>
      <c r="AA104" s="96"/>
      <c r="AB104" s="96"/>
      <c r="AC104" s="96"/>
      <c r="AD104" s="96"/>
    </row>
    <row r="105" spans="1:30" ht="14.25" customHeight="1">
      <c r="A105" s="768" t="str">
        <f>Напрями!$A$66</f>
        <v>207M</v>
      </c>
      <c r="B105" s="96"/>
      <c r="C105" s="768" t="s">
        <v>1855</v>
      </c>
      <c r="D105" s="104" t="s">
        <v>2150</v>
      </c>
      <c r="E105" s="483">
        <v>100</v>
      </c>
      <c r="F105" s="548">
        <v>2553.4475000000002</v>
      </c>
      <c r="G105" s="96"/>
      <c r="H105" s="96"/>
      <c r="I105" s="96"/>
      <c r="J105" s="492"/>
      <c r="K105" s="96"/>
      <c r="L105" s="492"/>
      <c r="M105" s="485">
        <v>0</v>
      </c>
      <c r="N105" s="485">
        <v>5</v>
      </c>
      <c r="O105" s="485">
        <v>7</v>
      </c>
      <c r="P105" s="486">
        <v>0</v>
      </c>
      <c r="Q105" s="486">
        <v>12767.237500000001</v>
      </c>
      <c r="R105" s="486">
        <v>17874.1325</v>
      </c>
      <c r="S105" s="487">
        <v>30641.370000000003</v>
      </c>
      <c r="T105" s="487">
        <v>0</v>
      </c>
      <c r="U105" s="487">
        <v>500.00000000000006</v>
      </c>
      <c r="V105" s="487">
        <v>700</v>
      </c>
      <c r="W105" s="481">
        <v>1200</v>
      </c>
      <c r="X105" s="772" t="s">
        <v>1392</v>
      </c>
      <c r="Y105" s="96" t="s">
        <v>1855</v>
      </c>
      <c r="Z105" s="96"/>
      <c r="AA105" s="96"/>
      <c r="AB105" s="96"/>
      <c r="AC105" s="96"/>
      <c r="AD105" s="96"/>
    </row>
    <row r="106" spans="1:30" ht="14.25" customHeight="1">
      <c r="A106" s="768" t="str">
        <f>Напрями!$A$66</f>
        <v>207M</v>
      </c>
      <c r="B106" s="96"/>
      <c r="C106" s="768" t="s">
        <v>1855</v>
      </c>
      <c r="D106" s="104" t="s">
        <v>2151</v>
      </c>
      <c r="E106" s="549">
        <v>274.13917850278887</v>
      </c>
      <c r="F106" s="548">
        <v>7000</v>
      </c>
      <c r="G106" s="96"/>
      <c r="H106" s="96"/>
      <c r="I106" s="96"/>
      <c r="J106" s="492"/>
      <c r="K106" s="96"/>
      <c r="L106" s="492"/>
      <c r="M106" s="485">
        <v>0</v>
      </c>
      <c r="N106" s="485">
        <v>5</v>
      </c>
      <c r="O106" s="485">
        <v>7</v>
      </c>
      <c r="P106" s="486">
        <v>0</v>
      </c>
      <c r="Q106" s="486">
        <v>35000</v>
      </c>
      <c r="R106" s="486">
        <v>49000</v>
      </c>
      <c r="S106" s="487">
        <v>84000</v>
      </c>
      <c r="T106" s="487">
        <v>0</v>
      </c>
      <c r="U106" s="487">
        <v>1370.6958925139443</v>
      </c>
      <c r="V106" s="487">
        <v>1918.9742495195221</v>
      </c>
      <c r="W106" s="481">
        <v>3289.6701420334666</v>
      </c>
      <c r="X106" s="772" t="s">
        <v>1862</v>
      </c>
      <c r="Y106" s="96" t="s">
        <v>1855</v>
      </c>
      <c r="Z106" s="96"/>
      <c r="AA106" s="96"/>
      <c r="AB106" s="96"/>
      <c r="AC106" s="96"/>
      <c r="AD106" s="96"/>
    </row>
    <row r="107" spans="1:30" ht="14.25" customHeight="1">
      <c r="A107" s="768" t="str">
        <f>Напрями!$A$66</f>
        <v>207M</v>
      </c>
      <c r="B107" s="96"/>
      <c r="C107" s="768" t="s">
        <v>1855</v>
      </c>
      <c r="D107" s="530" t="s">
        <v>2152</v>
      </c>
      <c r="E107" s="483">
        <v>100</v>
      </c>
      <c r="F107" s="548">
        <v>2553.4475000000002</v>
      </c>
      <c r="G107" s="96"/>
      <c r="H107" s="96"/>
      <c r="I107" s="96"/>
      <c r="J107" s="492"/>
      <c r="K107" s="96"/>
      <c r="L107" s="492"/>
      <c r="M107" s="485">
        <v>0</v>
      </c>
      <c r="N107" s="485">
        <v>5</v>
      </c>
      <c r="O107" s="485">
        <v>7</v>
      </c>
      <c r="P107" s="486">
        <v>0</v>
      </c>
      <c r="Q107" s="486">
        <v>12767.237500000001</v>
      </c>
      <c r="R107" s="486">
        <v>17874.1325</v>
      </c>
      <c r="S107" s="487">
        <v>30641.370000000003</v>
      </c>
      <c r="T107" s="487">
        <v>0</v>
      </c>
      <c r="U107" s="487">
        <v>500.00000000000006</v>
      </c>
      <c r="V107" s="487">
        <v>700</v>
      </c>
      <c r="W107" s="481">
        <v>1200</v>
      </c>
      <c r="X107" s="772" t="s">
        <v>1392</v>
      </c>
      <c r="Y107" s="96" t="s">
        <v>1855</v>
      </c>
      <c r="Z107" s="96"/>
      <c r="AA107" s="96"/>
      <c r="AB107" s="96"/>
      <c r="AC107" s="96"/>
      <c r="AD107" s="96"/>
    </row>
    <row r="108" spans="1:30" ht="14.25" customHeight="1">
      <c r="A108" s="768" t="str">
        <f>Напрями!$A$66</f>
        <v>207M</v>
      </c>
      <c r="B108" s="96"/>
      <c r="C108" s="768" t="s">
        <v>1855</v>
      </c>
      <c r="D108" s="530" t="s">
        <v>2153</v>
      </c>
      <c r="E108" s="483">
        <v>200</v>
      </c>
      <c r="F108" s="548">
        <v>5106.8950000000004</v>
      </c>
      <c r="G108" s="96"/>
      <c r="H108" s="96"/>
      <c r="I108" s="96"/>
      <c r="J108" s="492"/>
      <c r="K108" s="96"/>
      <c r="L108" s="492"/>
      <c r="M108" s="485">
        <v>0</v>
      </c>
      <c r="N108" s="485">
        <v>5</v>
      </c>
      <c r="O108" s="485">
        <v>7</v>
      </c>
      <c r="P108" s="486">
        <v>0</v>
      </c>
      <c r="Q108" s="486">
        <v>25534.475000000002</v>
      </c>
      <c r="R108" s="486">
        <v>35748.264999999999</v>
      </c>
      <c r="S108" s="487">
        <v>61282.740000000005</v>
      </c>
      <c r="T108" s="487">
        <v>0</v>
      </c>
      <c r="U108" s="487">
        <v>1000.0000000000001</v>
      </c>
      <c r="V108" s="487">
        <v>1400</v>
      </c>
      <c r="W108" s="481">
        <v>2400</v>
      </c>
      <c r="X108" s="772" t="s">
        <v>1392</v>
      </c>
      <c r="Y108" s="96" t="s">
        <v>1855</v>
      </c>
      <c r="Z108" s="492"/>
      <c r="AA108" s="96"/>
      <c r="AB108" s="96"/>
      <c r="AC108" s="96"/>
      <c r="AD108" s="96"/>
    </row>
    <row r="109" spans="1:30" ht="14.25" customHeight="1">
      <c r="A109" s="768" t="str">
        <f>Напрями!$A$66</f>
        <v>207M</v>
      </c>
      <c r="B109" s="96"/>
      <c r="C109" s="768" t="s">
        <v>1878</v>
      </c>
      <c r="D109" s="550"/>
      <c r="E109" s="487">
        <v>3334.1000000000004</v>
      </c>
      <c r="F109" s="96"/>
      <c r="G109" s="96"/>
      <c r="H109" s="96"/>
      <c r="I109" s="96"/>
      <c r="J109" s="492"/>
      <c r="K109" s="96"/>
      <c r="L109" s="492"/>
      <c r="M109" s="799"/>
      <c r="N109" s="800">
        <v>30</v>
      </c>
      <c r="O109" s="484">
        <v>0</v>
      </c>
      <c r="P109" s="486">
        <v>0</v>
      </c>
      <c r="Q109" s="486"/>
      <c r="R109" s="486">
        <f>N109*E109</f>
        <v>100023.00000000001</v>
      </c>
      <c r="S109" s="487"/>
      <c r="T109" s="487"/>
      <c r="U109" s="487"/>
      <c r="V109" s="487">
        <f>R109/25.53</f>
        <v>3917.8613396004703</v>
      </c>
      <c r="W109" s="481">
        <v>2611.4498144175668</v>
      </c>
      <c r="X109" s="772" t="s">
        <v>848</v>
      </c>
      <c r="Y109" s="96" t="s">
        <v>1855</v>
      </c>
      <c r="Z109" s="96"/>
      <c r="AA109" s="96"/>
      <c r="AB109" s="96"/>
      <c r="AC109" s="96"/>
      <c r="AD109" s="96"/>
    </row>
    <row r="110" spans="1:30" ht="14.25" customHeight="1">
      <c r="A110" s="768" t="str">
        <f>Напрями!$A$66</f>
        <v>207M</v>
      </c>
      <c r="B110" s="96"/>
      <c r="C110" s="768" t="s">
        <v>1874</v>
      </c>
      <c r="D110" s="530" t="s">
        <v>2154</v>
      </c>
      <c r="E110" s="551">
        <v>130.57249072087836</v>
      </c>
      <c r="F110" s="552">
        <v>3334.1000000000004</v>
      </c>
      <c r="G110" s="96"/>
      <c r="H110" s="96"/>
      <c r="I110" s="96"/>
      <c r="J110" s="492"/>
      <c r="K110" s="96"/>
      <c r="L110" s="492"/>
      <c r="M110" s="801"/>
      <c r="N110" s="801">
        <v>255</v>
      </c>
      <c r="O110" s="801">
        <v>255</v>
      </c>
      <c r="P110" s="486">
        <v>0</v>
      </c>
      <c r="Q110" s="486">
        <v>850195.50000000012</v>
      </c>
      <c r="R110" s="486">
        <v>850195.50000000012</v>
      </c>
      <c r="S110" s="487">
        <v>1700391.0000000002</v>
      </c>
      <c r="T110" s="487">
        <v>0</v>
      </c>
      <c r="U110" s="487">
        <v>33295.985133823982</v>
      </c>
      <c r="V110" s="487">
        <v>33295.985133823982</v>
      </c>
      <c r="W110" s="481">
        <v>66591.970267647965</v>
      </c>
      <c r="X110" s="772" t="s">
        <v>848</v>
      </c>
      <c r="Y110" s="96" t="s">
        <v>1874</v>
      </c>
      <c r="Z110" s="492"/>
      <c r="AA110" s="96"/>
      <c r="AB110" s="96"/>
      <c r="AC110" s="96"/>
      <c r="AD110" s="96"/>
    </row>
    <row r="111" spans="1:30" ht="14.25" customHeight="1">
      <c r="A111" s="768"/>
      <c r="B111" s="96"/>
      <c r="C111" s="768"/>
      <c r="D111" s="96"/>
      <c r="E111" s="96"/>
      <c r="F111" s="96"/>
      <c r="G111" s="96"/>
      <c r="H111" s="96"/>
      <c r="I111" s="96"/>
      <c r="J111" s="492"/>
      <c r="K111" s="96"/>
      <c r="L111" s="492"/>
      <c r="M111" s="492"/>
      <c r="N111" s="96"/>
      <c r="O111" s="96"/>
      <c r="P111" s="96"/>
      <c r="Q111" s="96"/>
      <c r="R111" s="96"/>
      <c r="S111" s="96"/>
      <c r="T111" s="96"/>
      <c r="U111" s="96"/>
      <c r="V111" s="96"/>
      <c r="W111" s="481"/>
      <c r="X111" s="772"/>
      <c r="Y111" s="96"/>
      <c r="Z111" s="96"/>
      <c r="AA111" s="96"/>
      <c r="AB111" s="96"/>
      <c r="AC111" s="96"/>
      <c r="AD111" s="96"/>
    </row>
    <row r="112" spans="1:30" ht="14.25" customHeight="1">
      <c r="A112" s="768"/>
      <c r="B112" s="96"/>
      <c r="C112" s="768"/>
      <c r="D112" s="96"/>
      <c r="E112" s="96"/>
      <c r="F112" s="96"/>
      <c r="G112" s="96"/>
      <c r="H112" s="96"/>
      <c r="I112" s="96"/>
      <c r="J112" s="492"/>
      <c r="K112" s="96"/>
      <c r="L112" s="492"/>
      <c r="M112" s="492"/>
      <c r="N112" s="96"/>
      <c r="O112" s="96"/>
      <c r="P112" s="96"/>
      <c r="Q112" s="96"/>
      <c r="R112" s="96"/>
      <c r="S112" s="96"/>
      <c r="T112" s="96"/>
      <c r="U112" s="96"/>
      <c r="V112" s="96"/>
      <c r="W112" s="481"/>
      <c r="X112" s="772"/>
      <c r="Y112" s="96"/>
      <c r="Z112" s="96"/>
      <c r="AA112" s="96"/>
      <c r="AB112" s="96"/>
      <c r="AC112" s="96"/>
      <c r="AD112" s="96"/>
    </row>
    <row r="113" spans="1:30" ht="14.25" customHeight="1">
      <c r="A113" s="768"/>
      <c r="B113" s="96"/>
      <c r="C113" s="768"/>
      <c r="D113" s="96"/>
      <c r="E113" s="96"/>
      <c r="F113" s="96"/>
      <c r="G113" s="96"/>
      <c r="H113" s="96"/>
      <c r="I113" s="96"/>
      <c r="J113" s="492"/>
      <c r="K113" s="96"/>
      <c r="L113" s="492"/>
      <c r="M113" s="492"/>
      <c r="N113" s="96"/>
      <c r="O113" s="96"/>
      <c r="P113" s="96"/>
      <c r="Q113" s="96"/>
      <c r="R113" s="96"/>
      <c r="S113" s="96"/>
      <c r="T113" s="96"/>
      <c r="U113" s="96"/>
      <c r="V113" s="96"/>
      <c r="W113" s="481"/>
      <c r="X113" s="772"/>
      <c r="Y113" s="96"/>
      <c r="Z113" s="96"/>
      <c r="AA113" s="96"/>
      <c r="AB113" s="96"/>
      <c r="AC113" s="96"/>
      <c r="AD113" s="96"/>
    </row>
    <row r="114" spans="1:30" ht="14.25" customHeight="1">
      <c r="A114" s="768"/>
      <c r="B114" s="96"/>
      <c r="C114" s="768"/>
      <c r="D114" s="96"/>
      <c r="E114" s="96"/>
      <c r="F114" s="96"/>
      <c r="G114" s="96"/>
      <c r="H114" s="96"/>
      <c r="I114" s="96"/>
      <c r="J114" s="492"/>
      <c r="K114" s="96"/>
      <c r="L114" s="492"/>
      <c r="M114" s="492"/>
      <c r="N114" s="96"/>
      <c r="O114" s="96"/>
      <c r="P114" s="96"/>
      <c r="Q114" s="96"/>
      <c r="R114" s="96"/>
      <c r="S114" s="96"/>
      <c r="T114" s="96"/>
      <c r="U114" s="96"/>
      <c r="V114" s="96"/>
      <c r="W114" s="481"/>
      <c r="X114" s="772"/>
      <c r="Y114" s="96"/>
      <c r="Z114" s="96"/>
      <c r="AA114" s="96"/>
      <c r="AB114" s="96"/>
      <c r="AC114" s="96"/>
      <c r="AD114" s="96"/>
    </row>
    <row r="115" spans="1:30" ht="14.25" customHeight="1">
      <c r="A115" s="768"/>
      <c r="B115" s="96"/>
      <c r="C115" s="768"/>
      <c r="D115" s="96"/>
      <c r="E115" s="96"/>
      <c r="F115" s="96"/>
      <c r="G115" s="96"/>
      <c r="H115" s="96"/>
      <c r="I115" s="96"/>
      <c r="J115" s="492"/>
      <c r="K115" s="96"/>
      <c r="L115" s="492"/>
      <c r="M115" s="492"/>
      <c r="N115" s="96"/>
      <c r="O115" s="96"/>
      <c r="P115" s="96"/>
      <c r="Q115" s="96"/>
      <c r="R115" s="96"/>
      <c r="S115" s="96"/>
      <c r="T115" s="96"/>
      <c r="U115" s="96"/>
      <c r="V115" s="96"/>
      <c r="W115" s="481"/>
      <c r="X115" s="772"/>
      <c r="Y115" s="96"/>
      <c r="Z115" s="96"/>
      <c r="AA115" s="96"/>
      <c r="AB115" s="96"/>
      <c r="AC115" s="96"/>
      <c r="AD115" s="96"/>
    </row>
    <row r="116" spans="1:30" ht="12.75" customHeight="1">
      <c r="A116" s="768" t="str">
        <f>Напрями!$A$27</f>
        <v>128M1</v>
      </c>
      <c r="B116" s="769"/>
      <c r="C116" s="768" t="s">
        <v>1855</v>
      </c>
      <c r="D116" s="790" t="s">
        <v>511</v>
      </c>
      <c r="E116" s="791"/>
      <c r="F116" s="791"/>
      <c r="G116" s="791"/>
      <c r="H116" s="791"/>
      <c r="I116" s="791"/>
      <c r="J116" s="791" t="s">
        <v>2155</v>
      </c>
      <c r="K116" s="769"/>
      <c r="L116" s="769"/>
      <c r="M116" s="769"/>
      <c r="N116" s="769"/>
      <c r="O116" s="769"/>
      <c r="P116" s="769"/>
      <c r="Q116" s="769"/>
      <c r="R116" s="769"/>
      <c r="S116" s="769"/>
      <c r="T116" s="769"/>
      <c r="U116" s="769"/>
      <c r="V116" s="769"/>
      <c r="W116" s="769"/>
      <c r="X116" s="769"/>
      <c r="Y116" s="769"/>
      <c r="Z116" s="769"/>
      <c r="AA116" s="769"/>
      <c r="AB116" s="769"/>
      <c r="AC116" s="769"/>
      <c r="AD116" s="769"/>
    </row>
    <row r="117" spans="1:30" ht="14.25" customHeight="1">
      <c r="A117" s="768" t="str">
        <f>Напрями!$A$27</f>
        <v>128M1</v>
      </c>
      <c r="B117" s="96"/>
      <c r="C117" s="768" t="s">
        <v>1855</v>
      </c>
      <c r="D117" s="524" t="s">
        <v>2075</v>
      </c>
      <c r="E117" s="525" t="s">
        <v>394</v>
      </c>
      <c r="F117" s="525" t="s">
        <v>2076</v>
      </c>
      <c r="G117" s="525" t="s">
        <v>2077</v>
      </c>
      <c r="H117" s="478" t="s">
        <v>2078</v>
      </c>
      <c r="I117" s="478" t="s">
        <v>2079</v>
      </c>
      <c r="J117" s="479" t="s">
        <v>2080</v>
      </c>
      <c r="K117" s="96"/>
      <c r="L117" s="480"/>
      <c r="M117" s="480"/>
      <c r="N117" s="96"/>
      <c r="O117" s="96"/>
      <c r="P117" s="96"/>
      <c r="Q117" s="96"/>
      <c r="R117" s="96"/>
      <c r="S117" s="96"/>
      <c r="T117" s="96"/>
      <c r="U117" s="96"/>
      <c r="V117" s="96"/>
      <c r="W117" s="481"/>
      <c r="X117" s="772"/>
      <c r="Y117" s="96"/>
      <c r="Z117" s="96"/>
      <c r="AA117" s="96"/>
      <c r="AB117" s="96"/>
      <c r="AC117" s="96"/>
      <c r="AD117" s="96"/>
    </row>
    <row r="118" spans="1:30" ht="14.25" customHeight="1">
      <c r="A118" s="768" t="str">
        <f>Напрями!$A$27</f>
        <v>128M1</v>
      </c>
      <c r="B118" s="96"/>
      <c r="C118" s="768" t="s">
        <v>1855</v>
      </c>
      <c r="D118" s="530" t="s">
        <v>2156</v>
      </c>
      <c r="E118" s="527" t="s">
        <v>64</v>
      </c>
      <c r="F118" s="544">
        <v>7000</v>
      </c>
      <c r="G118" s="527">
        <v>1</v>
      </c>
      <c r="H118" s="527">
        <v>1</v>
      </c>
      <c r="I118" s="483">
        <v>7000</v>
      </c>
      <c r="J118" s="483">
        <v>274.13917850278887</v>
      </c>
      <c r="K118" s="96"/>
      <c r="L118" s="484"/>
      <c r="M118" s="801"/>
      <c r="N118" s="801">
        <v>45</v>
      </c>
      <c r="O118" s="485">
        <v>43</v>
      </c>
      <c r="P118" s="486">
        <v>0</v>
      </c>
      <c r="Q118" s="486">
        <v>315000</v>
      </c>
      <c r="R118" s="486">
        <v>301000</v>
      </c>
      <c r="S118" s="487">
        <v>616000</v>
      </c>
      <c r="T118" s="487">
        <v>0</v>
      </c>
      <c r="U118" s="487">
        <v>12336.263032625498</v>
      </c>
      <c r="V118" s="487">
        <v>11787.984675619922</v>
      </c>
      <c r="W118" s="481">
        <v>24124.247708245421</v>
      </c>
      <c r="X118" s="772" t="s">
        <v>1862</v>
      </c>
      <c r="Y118" s="96" t="s">
        <v>1855</v>
      </c>
      <c r="Z118" s="96"/>
      <c r="AA118" s="96"/>
      <c r="AB118" s="96"/>
      <c r="AC118" s="96"/>
      <c r="AD118" s="96"/>
    </row>
    <row r="119" spans="1:30" ht="14.25" customHeight="1">
      <c r="A119" s="768" t="str">
        <f>Напрями!$A$27</f>
        <v>128M1</v>
      </c>
      <c r="B119" s="96"/>
      <c r="C119" s="768" t="s">
        <v>1855</v>
      </c>
      <c r="D119" s="530" t="s">
        <v>2157</v>
      </c>
      <c r="E119" s="527" t="s">
        <v>64</v>
      </c>
      <c r="F119" s="544">
        <v>28000</v>
      </c>
      <c r="G119" s="527">
        <v>1</v>
      </c>
      <c r="H119" s="527">
        <v>1</v>
      </c>
      <c r="I119" s="483">
        <v>28000</v>
      </c>
      <c r="J119" s="483">
        <v>1096.5567140111555</v>
      </c>
      <c r="K119" s="96"/>
      <c r="L119" s="484"/>
      <c r="M119" s="801"/>
      <c r="N119" s="801">
        <v>45</v>
      </c>
      <c r="O119" s="485">
        <v>43</v>
      </c>
      <c r="P119" s="486">
        <v>0</v>
      </c>
      <c r="Q119" s="486">
        <v>1260000</v>
      </c>
      <c r="R119" s="486">
        <v>1204000</v>
      </c>
      <c r="S119" s="487">
        <v>2464000</v>
      </c>
      <c r="T119" s="487">
        <v>0</v>
      </c>
      <c r="U119" s="487">
        <v>49345.052130501994</v>
      </c>
      <c r="V119" s="487">
        <v>47151.938702479689</v>
      </c>
      <c r="W119" s="481">
        <v>96496.990832981683</v>
      </c>
      <c r="X119" s="772" t="s">
        <v>1392</v>
      </c>
      <c r="Y119" s="96" t="s">
        <v>1855</v>
      </c>
      <c r="Z119" s="96"/>
      <c r="AA119" s="96"/>
      <c r="AB119" s="96"/>
      <c r="AC119" s="96"/>
      <c r="AD119" s="96"/>
    </row>
    <row r="120" spans="1:30" ht="14.25" customHeight="1">
      <c r="A120" s="768" t="str">
        <f>Напрями!$A$27</f>
        <v>128M1</v>
      </c>
      <c r="B120" s="96"/>
      <c r="C120" s="768" t="s">
        <v>1855</v>
      </c>
      <c r="D120" s="530" t="s">
        <v>2158</v>
      </c>
      <c r="E120" s="527" t="s">
        <v>64</v>
      </c>
      <c r="F120" s="544">
        <v>12000</v>
      </c>
      <c r="G120" s="527">
        <v>1</v>
      </c>
      <c r="H120" s="527">
        <v>1</v>
      </c>
      <c r="I120" s="483">
        <v>12000</v>
      </c>
      <c r="J120" s="483">
        <v>469.95287743335234</v>
      </c>
      <c r="K120" s="96"/>
      <c r="L120" s="484"/>
      <c r="M120" s="801"/>
      <c r="N120" s="801">
        <v>45</v>
      </c>
      <c r="O120" s="485">
        <v>43</v>
      </c>
      <c r="P120" s="486">
        <v>0</v>
      </c>
      <c r="Q120" s="486">
        <v>540000</v>
      </c>
      <c r="R120" s="486">
        <v>516000</v>
      </c>
      <c r="S120" s="487">
        <v>1056000</v>
      </c>
      <c r="T120" s="487">
        <v>0</v>
      </c>
      <c r="U120" s="487">
        <v>21147.879484500856</v>
      </c>
      <c r="V120" s="487">
        <v>20207.973729634152</v>
      </c>
      <c r="W120" s="481">
        <v>41355.853214135008</v>
      </c>
      <c r="X120" s="772" t="s">
        <v>1392</v>
      </c>
      <c r="Y120" s="96" t="s">
        <v>1855</v>
      </c>
      <c r="Z120" s="96"/>
      <c r="AA120" s="96"/>
      <c r="AB120" s="96"/>
      <c r="AC120" s="96"/>
      <c r="AD120" s="96"/>
    </row>
    <row r="121" spans="1:30" ht="14.25" customHeight="1">
      <c r="A121" s="768" t="str">
        <f>Напрями!$A$27</f>
        <v>128M1</v>
      </c>
      <c r="B121" s="96"/>
      <c r="C121" s="768" t="s">
        <v>1855</v>
      </c>
      <c r="D121" s="530" t="s">
        <v>2159</v>
      </c>
      <c r="E121" s="527" t="s">
        <v>2160</v>
      </c>
      <c r="F121" s="544">
        <v>1100</v>
      </c>
      <c r="G121" s="527">
        <v>12</v>
      </c>
      <c r="H121" s="527">
        <v>1</v>
      </c>
      <c r="I121" s="483">
        <v>13200</v>
      </c>
      <c r="J121" s="483">
        <v>516.94816517668755</v>
      </c>
      <c r="K121" s="96"/>
      <c r="L121" s="484"/>
      <c r="M121" s="801"/>
      <c r="N121" s="801">
        <v>45</v>
      </c>
      <c r="O121" s="485">
        <v>43</v>
      </c>
      <c r="P121" s="486">
        <v>0</v>
      </c>
      <c r="Q121" s="486">
        <v>594000</v>
      </c>
      <c r="R121" s="486">
        <v>567600</v>
      </c>
      <c r="S121" s="487">
        <v>1161600</v>
      </c>
      <c r="T121" s="487">
        <v>0</v>
      </c>
      <c r="U121" s="487">
        <v>23262.667432950941</v>
      </c>
      <c r="V121" s="487">
        <v>22228.771102597566</v>
      </c>
      <c r="W121" s="481">
        <v>45491.438535548506</v>
      </c>
      <c r="X121" s="772" t="s">
        <v>882</v>
      </c>
      <c r="Y121" s="96" t="s">
        <v>1855</v>
      </c>
      <c r="Z121" s="96"/>
      <c r="AA121" s="96"/>
      <c r="AB121" s="96"/>
      <c r="AC121" s="96"/>
      <c r="AD121" s="96"/>
    </row>
    <row r="122" spans="1:30" ht="14.25" customHeight="1">
      <c r="A122" s="768" t="str">
        <f>Напрями!$A$27</f>
        <v>128M1</v>
      </c>
      <c r="B122" s="96"/>
      <c r="C122" s="768" t="s">
        <v>1855</v>
      </c>
      <c r="D122" s="546" t="s">
        <v>1219</v>
      </c>
      <c r="E122" s="547"/>
      <c r="F122" s="547"/>
      <c r="G122" s="547"/>
      <c r="H122" s="547"/>
      <c r="I122" s="488">
        <v>60200</v>
      </c>
      <c r="J122" s="488">
        <v>2357.5969351239842</v>
      </c>
      <c r="K122" s="96"/>
      <c r="L122" s="485"/>
      <c r="M122" s="485">
        <v>2</v>
      </c>
      <c r="N122" s="485">
        <v>43</v>
      </c>
      <c r="O122" s="485">
        <v>43</v>
      </c>
      <c r="P122" s="486">
        <v>120400</v>
      </c>
      <c r="Q122" s="486">
        <v>2588600</v>
      </c>
      <c r="R122" s="486">
        <v>2588600</v>
      </c>
      <c r="S122" s="487">
        <v>5297600</v>
      </c>
      <c r="T122" s="487">
        <v>4715.1938702479683</v>
      </c>
      <c r="U122" s="487">
        <v>101376.66821033132</v>
      </c>
      <c r="V122" s="487">
        <v>101376.66821033132</v>
      </c>
      <c r="W122" s="491">
        <v>207468.53029091062</v>
      </c>
      <c r="X122" s="772"/>
      <c r="Y122" s="96"/>
      <c r="Z122" s="96"/>
      <c r="AA122" s="96"/>
      <c r="AB122" s="96"/>
      <c r="AC122" s="96"/>
      <c r="AD122" s="96"/>
    </row>
    <row r="123" spans="1:30" ht="14.25" customHeight="1">
      <c r="A123" s="768"/>
      <c r="B123" s="4"/>
      <c r="C123" s="768"/>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4.25" customHeight="1">
      <c r="A124" s="768"/>
      <c r="B124" s="4"/>
      <c r="C124" s="768"/>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4.25" customHeight="1">
      <c r="A125" s="768" t="e">
        <f t="shared" ref="A125:A133" si="7">#REF!</f>
        <v>#REF!</v>
      </c>
      <c r="B125" s="4"/>
      <c r="C125" s="768" t="s">
        <v>2031</v>
      </c>
      <c r="D125" s="498" t="s">
        <v>966</v>
      </c>
      <c r="E125" s="499" t="s">
        <v>967</v>
      </c>
      <c r="F125" s="499" t="s">
        <v>968</v>
      </c>
      <c r="G125" s="499" t="s">
        <v>969</v>
      </c>
      <c r="H125" s="499" t="s">
        <v>970</v>
      </c>
      <c r="I125" s="499" t="s">
        <v>2107</v>
      </c>
      <c r="J125" s="499" t="s">
        <v>2108</v>
      </c>
      <c r="K125" s="500" t="s">
        <v>2109</v>
      </c>
      <c r="L125" s="4"/>
      <c r="M125" s="4"/>
      <c r="N125" s="4"/>
      <c r="O125" s="4"/>
      <c r="P125" s="499" t="s">
        <v>2110</v>
      </c>
      <c r="Q125" s="499" t="s">
        <v>2111</v>
      </c>
      <c r="R125" s="499" t="s">
        <v>2112</v>
      </c>
      <c r="S125" s="499" t="s">
        <v>1105</v>
      </c>
      <c r="T125" s="499" t="s">
        <v>2113</v>
      </c>
      <c r="U125" s="499" t="s">
        <v>2114</v>
      </c>
      <c r="V125" s="499" t="s">
        <v>2115</v>
      </c>
      <c r="W125" s="499" t="s">
        <v>2116</v>
      </c>
      <c r="X125" s="498" t="s">
        <v>934</v>
      </c>
      <c r="Y125" s="500" t="s">
        <v>2117</v>
      </c>
      <c r="Z125" s="500" t="s">
        <v>2118</v>
      </c>
      <c r="AA125" s="4"/>
      <c r="AB125" s="4"/>
      <c r="AC125" s="4"/>
      <c r="AD125" s="4"/>
    </row>
    <row r="126" spans="1:30" ht="14.25" customHeight="1">
      <c r="A126" s="768" t="e">
        <f t="shared" si="7"/>
        <v>#REF!</v>
      </c>
      <c r="B126" s="4"/>
      <c r="C126" s="768" t="s">
        <v>2031</v>
      </c>
      <c r="D126" s="553" t="s">
        <v>2161</v>
      </c>
      <c r="E126" s="783">
        <v>89965.15</v>
      </c>
      <c r="F126" s="509" t="s">
        <v>949</v>
      </c>
      <c r="G126" s="554"/>
      <c r="H126" s="554">
        <v>2</v>
      </c>
      <c r="I126" s="555"/>
      <c r="J126" s="511">
        <v>7046.563518537193</v>
      </c>
      <c r="K126" s="500"/>
      <c r="L126" s="4"/>
      <c r="M126" s="4"/>
      <c r="N126" s="4"/>
      <c r="O126" s="4"/>
      <c r="P126" s="512">
        <v>0</v>
      </c>
      <c r="Q126" s="512">
        <v>179930.3</v>
      </c>
      <c r="R126" s="512">
        <v>0</v>
      </c>
      <c r="S126" s="512">
        <v>179930.3</v>
      </c>
      <c r="T126" s="512">
        <v>0</v>
      </c>
      <c r="U126" s="512">
        <v>7046.563518537193</v>
      </c>
      <c r="V126" s="512">
        <v>0</v>
      </c>
      <c r="W126" s="512">
        <v>7046.563518537193</v>
      </c>
      <c r="X126" s="349" t="s">
        <v>950</v>
      </c>
      <c r="Y126" s="500" t="s">
        <v>2031</v>
      </c>
      <c r="Z126" s="500"/>
      <c r="AA126" s="4"/>
      <c r="AB126" s="4"/>
      <c r="AC126" s="4"/>
      <c r="AD126" s="4"/>
    </row>
    <row r="127" spans="1:30" ht="14.25" customHeight="1">
      <c r="A127" s="768" t="e">
        <f t="shared" si="7"/>
        <v>#REF!</v>
      </c>
      <c r="B127" s="4"/>
      <c r="C127" s="768" t="s">
        <v>2031</v>
      </c>
      <c r="D127" s="553" t="s">
        <v>2162</v>
      </c>
      <c r="E127" s="783">
        <v>6668.2000000000007</v>
      </c>
      <c r="F127" s="509" t="s">
        <v>949</v>
      </c>
      <c r="G127" s="555"/>
      <c r="H127" s="555">
        <v>2</v>
      </c>
      <c r="I127" s="555">
        <v>2</v>
      </c>
      <c r="J127" s="511">
        <v>1044.5799257670269</v>
      </c>
      <c r="K127" s="500"/>
      <c r="L127" s="4"/>
      <c r="M127" s="4"/>
      <c r="N127" s="4"/>
      <c r="O127" s="4"/>
      <c r="P127" s="512">
        <v>0</v>
      </c>
      <c r="Q127" s="512">
        <v>13336.400000000001</v>
      </c>
      <c r="R127" s="512">
        <v>13336.400000000001</v>
      </c>
      <c r="S127" s="512">
        <v>26672.800000000003</v>
      </c>
      <c r="T127" s="512">
        <v>0</v>
      </c>
      <c r="U127" s="512">
        <v>522.28996288351345</v>
      </c>
      <c r="V127" s="512">
        <v>522.28996288351345</v>
      </c>
      <c r="W127" s="512">
        <v>1044.5799257670269</v>
      </c>
      <c r="X127" s="349" t="s">
        <v>950</v>
      </c>
      <c r="Y127" s="500" t="s">
        <v>2031</v>
      </c>
      <c r="Z127" s="500"/>
      <c r="AA127" s="4"/>
      <c r="AB127" s="4"/>
      <c r="AC127" s="4"/>
      <c r="AD127" s="4"/>
    </row>
    <row r="128" spans="1:30" ht="14.25" customHeight="1">
      <c r="A128" s="768" t="e">
        <f t="shared" si="7"/>
        <v>#REF!</v>
      </c>
      <c r="B128" s="4"/>
      <c r="C128" s="768" t="s">
        <v>2031</v>
      </c>
      <c r="D128" s="553" t="s">
        <v>2163</v>
      </c>
      <c r="E128" s="783">
        <v>6532.5</v>
      </c>
      <c r="F128" s="509" t="s">
        <v>788</v>
      </c>
      <c r="G128" s="554"/>
      <c r="H128" s="554">
        <v>40</v>
      </c>
      <c r="I128" s="554">
        <v>40</v>
      </c>
      <c r="J128" s="511">
        <v>20466.447812222494</v>
      </c>
      <c r="K128" s="500"/>
      <c r="L128" s="4"/>
      <c r="M128" s="4"/>
      <c r="N128" s="4"/>
      <c r="O128" s="4"/>
      <c r="P128" s="512">
        <v>0</v>
      </c>
      <c r="Q128" s="512">
        <v>261300</v>
      </c>
      <c r="R128" s="512">
        <v>261300</v>
      </c>
      <c r="S128" s="512">
        <v>522600</v>
      </c>
      <c r="T128" s="512">
        <v>0</v>
      </c>
      <c r="U128" s="512">
        <v>10233.223906111247</v>
      </c>
      <c r="V128" s="512">
        <v>10233.223906111247</v>
      </c>
      <c r="W128" s="512">
        <v>20466.447812222494</v>
      </c>
      <c r="X128" s="349" t="s">
        <v>809</v>
      </c>
      <c r="Y128" s="500" t="s">
        <v>2031</v>
      </c>
      <c r="Z128" s="500"/>
      <c r="AA128" s="4"/>
      <c r="AB128" s="4"/>
      <c r="AC128" s="4"/>
      <c r="AD128" s="4"/>
    </row>
    <row r="129" spans="1:30" ht="14.25" customHeight="1">
      <c r="A129" s="768" t="e">
        <f t="shared" si="7"/>
        <v>#REF!</v>
      </c>
      <c r="B129" s="4"/>
      <c r="C129" s="768" t="s">
        <v>2031</v>
      </c>
      <c r="D129" s="553" t="s">
        <v>2164</v>
      </c>
      <c r="E129" s="783">
        <v>3334.1000000000004</v>
      </c>
      <c r="F129" s="556" t="s">
        <v>2126</v>
      </c>
      <c r="G129" s="554"/>
      <c r="H129" s="554">
        <v>480</v>
      </c>
      <c r="I129" s="554">
        <v>480</v>
      </c>
      <c r="J129" s="511">
        <v>125349.59109204322</v>
      </c>
      <c r="K129" s="500"/>
      <c r="L129" s="4"/>
      <c r="M129" s="4"/>
      <c r="N129" s="4"/>
      <c r="O129" s="4"/>
      <c r="P129" s="512">
        <v>0</v>
      </c>
      <c r="Q129" s="512">
        <v>1600368.0000000002</v>
      </c>
      <c r="R129" s="512">
        <v>1600368.0000000002</v>
      </c>
      <c r="S129" s="512">
        <v>3200736.0000000005</v>
      </c>
      <c r="T129" s="512">
        <v>0</v>
      </c>
      <c r="U129" s="512">
        <v>62674.795546021611</v>
      </c>
      <c r="V129" s="512">
        <v>62674.795546021611</v>
      </c>
      <c r="W129" s="512">
        <v>125349.59109204322</v>
      </c>
      <c r="X129" s="349" t="s">
        <v>848</v>
      </c>
      <c r="Y129" s="500" t="s">
        <v>2031</v>
      </c>
      <c r="Z129" s="500"/>
      <c r="AA129" s="4"/>
      <c r="AB129" s="4"/>
      <c r="AC129" s="4"/>
      <c r="AD129" s="4"/>
    </row>
    <row r="130" spans="1:30" ht="14.25" customHeight="1">
      <c r="A130" s="768" t="e">
        <f t="shared" si="7"/>
        <v>#REF!</v>
      </c>
      <c r="B130" s="4"/>
      <c r="C130" s="768" t="s">
        <v>2031</v>
      </c>
      <c r="D130" s="557" t="s">
        <v>1001</v>
      </c>
      <c r="E130" s="558">
        <v>0.15</v>
      </c>
      <c r="F130" s="558"/>
      <c r="G130" s="504">
        <v>0</v>
      </c>
      <c r="H130" s="504">
        <v>2054934.7000000002</v>
      </c>
      <c r="I130" s="559">
        <v>1873131.8718333337</v>
      </c>
      <c r="J130" s="511">
        <v>23075.077352285491</v>
      </c>
      <c r="K130" s="560"/>
      <c r="L130" s="4"/>
      <c r="M130" s="4"/>
      <c r="N130" s="4"/>
      <c r="O130" s="4"/>
      <c r="P130" s="512">
        <v>0</v>
      </c>
      <c r="Q130" s="512">
        <v>308240.20500000002</v>
      </c>
      <c r="R130" s="512">
        <v>280969.78077500005</v>
      </c>
      <c r="S130" s="512">
        <v>589209.98577500007</v>
      </c>
      <c r="T130" s="512">
        <v>0</v>
      </c>
      <c r="U130" s="512">
        <v>12071.530940033033</v>
      </c>
      <c r="V130" s="512">
        <v>11003.546412252457</v>
      </c>
      <c r="W130" s="512">
        <v>23075.077352285491</v>
      </c>
      <c r="X130" s="782" t="s">
        <v>875</v>
      </c>
      <c r="Y130" s="500" t="s">
        <v>2031</v>
      </c>
      <c r="Z130" s="560"/>
      <c r="AA130" s="4"/>
      <c r="AB130" s="4"/>
      <c r="AC130" s="4"/>
      <c r="AD130" s="4"/>
    </row>
    <row r="131" spans="1:30" ht="14.25" customHeight="1">
      <c r="A131" s="768" t="e">
        <f t="shared" si="7"/>
        <v>#REF!</v>
      </c>
      <c r="B131" s="4"/>
      <c r="C131" s="768" t="s">
        <v>2031</v>
      </c>
      <c r="D131" s="557" t="s">
        <v>962</v>
      </c>
      <c r="E131" s="558">
        <v>7.0000000000000007E-2</v>
      </c>
      <c r="F131" s="558"/>
      <c r="G131" s="504">
        <v>0</v>
      </c>
      <c r="H131" s="504">
        <v>2054934.7000000002</v>
      </c>
      <c r="I131" s="504">
        <v>1875004.4000000004</v>
      </c>
      <c r="J131" s="511">
        <v>10773.502764399898</v>
      </c>
      <c r="K131" s="560"/>
      <c r="L131" s="4"/>
      <c r="M131" s="4"/>
      <c r="N131" s="4"/>
      <c r="O131" s="4"/>
      <c r="P131" s="512">
        <v>0</v>
      </c>
      <c r="Q131" s="512">
        <v>143845.42900000003</v>
      </c>
      <c r="R131" s="512">
        <v>131250.30800000005</v>
      </c>
      <c r="S131" s="512">
        <v>275095.73700000008</v>
      </c>
      <c r="T131" s="512">
        <v>0</v>
      </c>
      <c r="U131" s="512">
        <v>5633.3811053487507</v>
      </c>
      <c r="V131" s="512">
        <v>5140.1216590511476</v>
      </c>
      <c r="W131" s="512">
        <v>10773.502764399898</v>
      </c>
      <c r="X131" s="349" t="s">
        <v>881</v>
      </c>
      <c r="Y131" s="500" t="s">
        <v>2031</v>
      </c>
      <c r="Z131" s="560"/>
      <c r="AA131" s="4"/>
      <c r="AB131" s="4"/>
      <c r="AC131" s="4"/>
      <c r="AD131" s="4"/>
    </row>
    <row r="132" spans="1:30" ht="14.25" customHeight="1">
      <c r="A132" s="768" t="e">
        <f t="shared" si="7"/>
        <v>#REF!</v>
      </c>
      <c r="B132" s="4"/>
      <c r="C132" s="768" t="s">
        <v>2031</v>
      </c>
      <c r="D132" s="557" t="s">
        <v>962</v>
      </c>
      <c r="E132" s="558">
        <v>0.02</v>
      </c>
      <c r="F132" s="558"/>
      <c r="G132" s="504">
        <v>0</v>
      </c>
      <c r="H132" s="504">
        <v>2054934.7000000002</v>
      </c>
      <c r="I132" s="504">
        <v>1875004.4000000004</v>
      </c>
      <c r="J132" s="511">
        <v>3078.1436469713985</v>
      </c>
      <c r="K132" s="560"/>
      <c r="L132" s="4"/>
      <c r="M132" s="4"/>
      <c r="N132" s="4"/>
      <c r="O132" s="4"/>
      <c r="P132" s="512">
        <v>0</v>
      </c>
      <c r="Q132" s="512">
        <v>41098.694000000003</v>
      </c>
      <c r="R132" s="512">
        <v>37500.088000000011</v>
      </c>
      <c r="S132" s="512">
        <v>78598.782000000007</v>
      </c>
      <c r="T132" s="512">
        <v>0</v>
      </c>
      <c r="U132" s="512">
        <v>1609.5374586710714</v>
      </c>
      <c r="V132" s="512">
        <v>1468.6061883003276</v>
      </c>
      <c r="W132" s="512">
        <v>3078.143646971399</v>
      </c>
      <c r="X132" s="561" t="s">
        <v>2008</v>
      </c>
      <c r="Y132" s="500" t="s">
        <v>2031</v>
      </c>
      <c r="Z132" s="560"/>
      <c r="AA132" s="4"/>
      <c r="AB132" s="4"/>
      <c r="AC132" s="4"/>
      <c r="AD132" s="4"/>
    </row>
    <row r="133" spans="1:30" ht="14.25" customHeight="1">
      <c r="A133" s="768" t="e">
        <f t="shared" si="7"/>
        <v>#REF!</v>
      </c>
      <c r="B133" s="4"/>
      <c r="C133" s="768" t="s">
        <v>2031</v>
      </c>
      <c r="D133" s="557" t="s">
        <v>962</v>
      </c>
      <c r="E133" s="558">
        <v>0.01</v>
      </c>
      <c r="F133" s="558"/>
      <c r="G133" s="504">
        <v>0</v>
      </c>
      <c r="H133" s="504">
        <v>2054934.7000000002</v>
      </c>
      <c r="I133" s="504">
        <v>1875004.4000000004</v>
      </c>
      <c r="J133" s="511">
        <v>1539.0718234856993</v>
      </c>
      <c r="K133" s="560"/>
      <c r="L133" s="4"/>
      <c r="M133" s="4"/>
      <c r="N133" s="4"/>
      <c r="O133" s="4"/>
      <c r="P133" s="512">
        <v>0</v>
      </c>
      <c r="Q133" s="512">
        <v>20549.347000000002</v>
      </c>
      <c r="R133" s="512">
        <v>18750.044000000005</v>
      </c>
      <c r="S133" s="512">
        <v>39299.391000000003</v>
      </c>
      <c r="T133" s="512">
        <v>0</v>
      </c>
      <c r="U133" s="512">
        <v>804.76872933553568</v>
      </c>
      <c r="V133" s="512">
        <v>734.30309415016382</v>
      </c>
      <c r="W133" s="512">
        <v>1539.0718234856995</v>
      </c>
      <c r="X133" s="561" t="s">
        <v>1392</v>
      </c>
      <c r="Y133" s="500" t="s">
        <v>2031</v>
      </c>
      <c r="Z133" s="560"/>
      <c r="AA133" s="4"/>
      <c r="AB133" s="4"/>
      <c r="AC133" s="4"/>
      <c r="AD133" s="4"/>
    </row>
    <row r="134" spans="1:30" ht="14.25" customHeight="1">
      <c r="A134" s="768"/>
      <c r="B134" s="4"/>
      <c r="C134" s="768"/>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4.25" customHeight="1">
      <c r="A135" s="768"/>
      <c r="B135" s="4"/>
      <c r="C135" s="768"/>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4.25" customHeight="1">
      <c r="A136" s="768"/>
      <c r="B136" s="4"/>
      <c r="C136" s="768" t="s">
        <v>1885</v>
      </c>
      <c r="D136" s="792" t="s">
        <v>2165</v>
      </c>
      <c r="E136" s="792"/>
      <c r="F136" s="792"/>
      <c r="G136" s="792"/>
      <c r="H136" s="792"/>
      <c r="I136" s="792"/>
      <c r="J136" s="792"/>
      <c r="K136" s="492"/>
      <c r="L136" s="792"/>
      <c r="M136" s="492"/>
      <c r="N136" s="96"/>
      <c r="O136" s="96"/>
      <c r="P136" s="96"/>
      <c r="Q136" s="96"/>
      <c r="R136" s="96"/>
      <c r="S136" s="96"/>
      <c r="T136" s="96"/>
      <c r="U136" s="96"/>
      <c r="V136" s="96"/>
      <c r="W136" s="481"/>
      <c r="X136" s="772"/>
      <c r="Y136" s="96"/>
      <c r="Z136" s="96"/>
      <c r="AA136" s="4"/>
      <c r="AB136" s="4"/>
      <c r="AC136" s="4"/>
      <c r="AD136" s="4"/>
    </row>
    <row r="137" spans="1:30" ht="14.25" customHeight="1">
      <c r="A137" s="768"/>
      <c r="B137" s="4"/>
      <c r="C137" s="768" t="s">
        <v>1885</v>
      </c>
      <c r="D137" s="143" t="s">
        <v>1304</v>
      </c>
      <c r="E137" s="113" t="s">
        <v>1388</v>
      </c>
      <c r="F137" s="113" t="s">
        <v>1307</v>
      </c>
      <c r="G137" s="113" t="s">
        <v>1308</v>
      </c>
      <c r="H137" s="113" t="s">
        <v>1309</v>
      </c>
      <c r="I137" s="113" t="s">
        <v>972</v>
      </c>
      <c r="J137" s="113" t="s">
        <v>973</v>
      </c>
      <c r="K137" s="143" t="s">
        <v>974</v>
      </c>
      <c r="L137" s="113"/>
      <c r="M137" s="492"/>
      <c r="N137" s="96"/>
      <c r="O137" s="96"/>
      <c r="P137" s="96"/>
      <c r="Q137" s="96"/>
      <c r="R137" s="96"/>
      <c r="S137" s="96"/>
      <c r="T137" s="96"/>
      <c r="U137" s="96"/>
      <c r="V137" s="96"/>
      <c r="W137" s="481"/>
      <c r="X137" s="772"/>
      <c r="Y137" s="96"/>
      <c r="Z137" s="96"/>
      <c r="AA137" s="4"/>
      <c r="AB137" s="4"/>
      <c r="AC137" s="4"/>
      <c r="AD137" s="4"/>
    </row>
    <row r="138" spans="1:30" ht="14.25" customHeight="1">
      <c r="A138" s="768"/>
      <c r="B138" s="4"/>
      <c r="C138" s="768" t="s">
        <v>1885</v>
      </c>
      <c r="D138" s="530" t="s">
        <v>2166</v>
      </c>
      <c r="E138" s="164">
        <v>18239.020147749998</v>
      </c>
      <c r="F138" s="194"/>
      <c r="G138" s="194">
        <v>15</v>
      </c>
      <c r="H138" s="164">
        <v>12</v>
      </c>
      <c r="I138" s="164">
        <v>0</v>
      </c>
      <c r="J138" s="164">
        <v>273585.30221624998</v>
      </c>
      <c r="K138" s="164">
        <v>218868.24177299999</v>
      </c>
      <c r="L138" s="164"/>
      <c r="M138" s="485">
        <v>1</v>
      </c>
      <c r="N138" s="485">
        <v>1</v>
      </c>
      <c r="O138" s="485">
        <v>1</v>
      </c>
      <c r="P138" s="802">
        <v>0</v>
      </c>
      <c r="Q138" s="802">
        <v>273585.30221624998</v>
      </c>
      <c r="R138" s="802">
        <v>218868.24177299999</v>
      </c>
      <c r="S138" s="803">
        <v>492453.54398924997</v>
      </c>
      <c r="T138" s="487">
        <v>0</v>
      </c>
      <c r="U138" s="487">
        <v>10714.349999999999</v>
      </c>
      <c r="V138" s="487">
        <v>8571.48</v>
      </c>
      <c r="W138" s="481">
        <v>19285.829999999998</v>
      </c>
      <c r="X138" s="772" t="s">
        <v>881</v>
      </c>
      <c r="Y138" s="96" t="s">
        <v>1885</v>
      </c>
      <c r="Z138" s="96"/>
      <c r="AA138" s="4"/>
      <c r="AB138" s="4"/>
      <c r="AC138" s="4"/>
      <c r="AD138" s="4"/>
    </row>
    <row r="139" spans="1:30" ht="14.25" customHeight="1">
      <c r="A139" s="768"/>
      <c r="B139" s="4"/>
      <c r="C139" s="768" t="s">
        <v>1885</v>
      </c>
      <c r="D139" s="530" t="s">
        <v>2167</v>
      </c>
      <c r="E139" s="164">
        <v>12800</v>
      </c>
      <c r="F139" s="194"/>
      <c r="G139" s="194">
        <v>15</v>
      </c>
      <c r="H139" s="164">
        <v>12</v>
      </c>
      <c r="I139" s="164">
        <v>0</v>
      </c>
      <c r="J139" s="164">
        <v>192000</v>
      </c>
      <c r="K139" s="164">
        <v>153600</v>
      </c>
      <c r="L139" s="164"/>
      <c r="M139" s="485">
        <v>1</v>
      </c>
      <c r="N139" s="485">
        <v>1</v>
      </c>
      <c r="O139" s="485">
        <v>1</v>
      </c>
      <c r="P139" s="802">
        <v>0</v>
      </c>
      <c r="Q139" s="802">
        <v>192000</v>
      </c>
      <c r="R139" s="802">
        <v>153600</v>
      </c>
      <c r="S139" s="803">
        <v>345600</v>
      </c>
      <c r="T139" s="487">
        <v>0</v>
      </c>
      <c r="U139" s="487">
        <v>7519.2460389336375</v>
      </c>
      <c r="V139" s="487">
        <v>6015.3968311469098</v>
      </c>
      <c r="W139" s="481">
        <v>13534.642870080548</v>
      </c>
      <c r="X139" s="772" t="s">
        <v>977</v>
      </c>
      <c r="Y139" s="96" t="s">
        <v>1885</v>
      </c>
      <c r="Z139" s="96"/>
      <c r="AA139" s="4"/>
      <c r="AB139" s="4"/>
      <c r="AC139" s="4"/>
      <c r="AD139" s="4"/>
    </row>
    <row r="140" spans="1:30" ht="14.25" customHeight="1">
      <c r="A140" s="768"/>
      <c r="B140" s="4"/>
      <c r="C140" s="768" t="s">
        <v>1885</v>
      </c>
      <c r="D140" s="530" t="s">
        <v>2168</v>
      </c>
      <c r="E140" s="164">
        <v>10360</v>
      </c>
      <c r="F140" s="194"/>
      <c r="G140" s="194">
        <v>15</v>
      </c>
      <c r="H140" s="164">
        <v>12</v>
      </c>
      <c r="I140" s="164">
        <v>0</v>
      </c>
      <c r="J140" s="164">
        <v>155400</v>
      </c>
      <c r="K140" s="164">
        <v>124320</v>
      </c>
      <c r="L140" s="164"/>
      <c r="M140" s="485">
        <v>1</v>
      </c>
      <c r="N140" s="485">
        <v>1</v>
      </c>
      <c r="O140" s="485">
        <v>1</v>
      </c>
      <c r="P140" s="802">
        <v>0</v>
      </c>
      <c r="Q140" s="802">
        <v>155400</v>
      </c>
      <c r="R140" s="802">
        <v>124320</v>
      </c>
      <c r="S140" s="803">
        <v>279720</v>
      </c>
      <c r="T140" s="487">
        <v>0</v>
      </c>
      <c r="U140" s="487">
        <v>6085.8897627619126</v>
      </c>
      <c r="V140" s="487">
        <v>4868.7118102095301</v>
      </c>
      <c r="W140" s="481">
        <v>10954.601572971444</v>
      </c>
      <c r="X140" s="772" t="s">
        <v>977</v>
      </c>
      <c r="Y140" s="96" t="s">
        <v>1885</v>
      </c>
      <c r="Z140" s="96"/>
      <c r="AA140" s="4"/>
      <c r="AB140" s="4"/>
      <c r="AC140" s="4"/>
      <c r="AD140" s="4"/>
    </row>
    <row r="141" spans="1:30" ht="14.25" customHeight="1">
      <c r="A141" s="768"/>
      <c r="B141" s="4"/>
      <c r="C141" s="768" t="s">
        <v>1885</v>
      </c>
      <c r="D141" s="530" t="s">
        <v>2169</v>
      </c>
      <c r="E141" s="164">
        <v>244</v>
      </c>
      <c r="F141" s="194"/>
      <c r="G141" s="194">
        <v>243</v>
      </c>
      <c r="H141" s="194">
        <v>243</v>
      </c>
      <c r="I141" s="164">
        <v>0</v>
      </c>
      <c r="J141" s="164">
        <v>59292</v>
      </c>
      <c r="K141" s="164">
        <v>59292</v>
      </c>
      <c r="L141" s="164"/>
      <c r="M141" s="485">
        <v>1</v>
      </c>
      <c r="N141" s="485">
        <v>1</v>
      </c>
      <c r="O141" s="485">
        <v>1</v>
      </c>
      <c r="P141" s="802">
        <v>0</v>
      </c>
      <c r="Q141" s="802">
        <v>59292</v>
      </c>
      <c r="R141" s="802">
        <v>59292</v>
      </c>
      <c r="S141" s="803">
        <v>118584</v>
      </c>
      <c r="T141" s="487">
        <v>0</v>
      </c>
      <c r="U141" s="487">
        <v>2322.037167398194</v>
      </c>
      <c r="V141" s="487">
        <v>2322.037167398194</v>
      </c>
      <c r="W141" s="481">
        <v>4644.074334796388</v>
      </c>
      <c r="X141" s="772" t="s">
        <v>977</v>
      </c>
      <c r="Y141" s="96" t="s">
        <v>1885</v>
      </c>
      <c r="Z141" s="96" t="s">
        <v>2170</v>
      </c>
      <c r="AA141" s="4"/>
      <c r="AB141" s="4"/>
      <c r="AC141" s="4"/>
      <c r="AD141" s="4"/>
    </row>
    <row r="142" spans="1:30" ht="14.25" customHeight="1">
      <c r="A142" s="768"/>
      <c r="B142" s="4"/>
      <c r="C142" s="768" t="s">
        <v>1885</v>
      </c>
      <c r="D142" s="530" t="s">
        <v>2171</v>
      </c>
      <c r="E142" s="164">
        <v>8207.5462992499997</v>
      </c>
      <c r="F142" s="194"/>
      <c r="G142" s="194">
        <v>15</v>
      </c>
      <c r="H142" s="164">
        <v>12</v>
      </c>
      <c r="I142" s="164">
        <v>0</v>
      </c>
      <c r="J142" s="164">
        <v>123113.19448875</v>
      </c>
      <c r="K142" s="164">
        <v>98490.555590999997</v>
      </c>
      <c r="L142" s="164"/>
      <c r="M142" s="485">
        <v>1</v>
      </c>
      <c r="N142" s="485">
        <v>1</v>
      </c>
      <c r="O142" s="485">
        <v>1</v>
      </c>
      <c r="P142" s="802">
        <v>0</v>
      </c>
      <c r="Q142" s="802">
        <v>123113.19448875</v>
      </c>
      <c r="R142" s="802">
        <v>98490.555590999997</v>
      </c>
      <c r="S142" s="803">
        <v>221603.75007975</v>
      </c>
      <c r="T142" s="487">
        <v>0</v>
      </c>
      <c r="U142" s="487">
        <v>4821.45</v>
      </c>
      <c r="V142" s="487">
        <v>3857.16</v>
      </c>
      <c r="W142" s="481">
        <v>8678.61</v>
      </c>
      <c r="X142" s="772" t="s">
        <v>977</v>
      </c>
      <c r="Y142" s="96" t="s">
        <v>1885</v>
      </c>
      <c r="Z142" s="96"/>
      <c r="AA142" s="4"/>
      <c r="AB142" s="4"/>
      <c r="AC142" s="4"/>
      <c r="AD142" s="4"/>
    </row>
    <row r="143" spans="1:30" ht="14.25" customHeight="1">
      <c r="A143" s="768"/>
      <c r="B143" s="4"/>
      <c r="C143" s="768" t="s">
        <v>1885</v>
      </c>
      <c r="D143" s="530" t="s">
        <v>2172</v>
      </c>
      <c r="E143" s="164">
        <v>1094.4075984999999</v>
      </c>
      <c r="F143" s="194"/>
      <c r="G143" s="194">
        <v>15</v>
      </c>
      <c r="H143" s="164">
        <v>12</v>
      </c>
      <c r="I143" s="164">
        <v>0</v>
      </c>
      <c r="J143" s="164">
        <v>16416.113977499997</v>
      </c>
      <c r="K143" s="164">
        <v>13132.891181999999</v>
      </c>
      <c r="L143" s="164"/>
      <c r="M143" s="485">
        <v>1</v>
      </c>
      <c r="N143" s="485">
        <v>1</v>
      </c>
      <c r="O143" s="485">
        <v>1</v>
      </c>
      <c r="P143" s="802">
        <v>0</v>
      </c>
      <c r="Q143" s="802">
        <v>16416.113977499997</v>
      </c>
      <c r="R143" s="802">
        <v>13132.891181999999</v>
      </c>
      <c r="S143" s="803">
        <v>29549.005159499997</v>
      </c>
      <c r="T143" s="487">
        <v>0</v>
      </c>
      <c r="U143" s="487">
        <v>642.89999999999986</v>
      </c>
      <c r="V143" s="487">
        <v>514.31999999999994</v>
      </c>
      <c r="W143" s="481">
        <v>1157.2199999999998</v>
      </c>
      <c r="X143" s="772" t="s">
        <v>977</v>
      </c>
      <c r="Y143" s="96" t="s">
        <v>1885</v>
      </c>
      <c r="Z143" s="96"/>
      <c r="AA143" s="4"/>
      <c r="AB143" s="4"/>
      <c r="AC143" s="4"/>
      <c r="AD143" s="4"/>
    </row>
    <row r="144" spans="1:30" ht="14.25" customHeight="1">
      <c r="A144" s="768"/>
      <c r="B144" s="4"/>
      <c r="C144" s="768" t="s">
        <v>1885</v>
      </c>
      <c r="D144" s="530" t="s">
        <v>2173</v>
      </c>
      <c r="E144" s="164">
        <v>250</v>
      </c>
      <c r="F144" s="562"/>
      <c r="G144" s="562">
        <v>150</v>
      </c>
      <c r="H144" s="562">
        <v>150</v>
      </c>
      <c r="I144" s="164">
        <v>0</v>
      </c>
      <c r="J144" s="164">
        <v>37500</v>
      </c>
      <c r="K144" s="164">
        <v>37500</v>
      </c>
      <c r="L144" s="164"/>
      <c r="M144" s="485">
        <v>1</v>
      </c>
      <c r="N144" s="485">
        <v>1</v>
      </c>
      <c r="O144" s="485">
        <v>1</v>
      </c>
      <c r="P144" s="802">
        <v>0</v>
      </c>
      <c r="Q144" s="802">
        <v>37500</v>
      </c>
      <c r="R144" s="802">
        <v>37500</v>
      </c>
      <c r="S144" s="803">
        <v>75000</v>
      </c>
      <c r="T144" s="487">
        <v>0</v>
      </c>
      <c r="U144" s="487">
        <v>1468.602741979226</v>
      </c>
      <c r="V144" s="487">
        <v>1468.602741979226</v>
      </c>
      <c r="W144" s="481">
        <v>2937.2054839584521</v>
      </c>
      <c r="X144" s="772" t="s">
        <v>989</v>
      </c>
      <c r="Y144" s="96" t="s">
        <v>1885</v>
      </c>
      <c r="Z144" s="96"/>
      <c r="AA144" s="4"/>
      <c r="AB144" s="4"/>
      <c r="AC144" s="4"/>
      <c r="AD144" s="4"/>
    </row>
    <row r="145" spans="1:30" ht="14.25" customHeight="1">
      <c r="A145" s="768"/>
      <c r="B145" s="4"/>
      <c r="C145" s="768" t="s">
        <v>1885</v>
      </c>
      <c r="D145" s="121" t="s">
        <v>1001</v>
      </c>
      <c r="E145" s="164"/>
      <c r="F145" s="164"/>
      <c r="G145" s="164"/>
      <c r="H145" s="164"/>
      <c r="I145" s="164">
        <v>0</v>
      </c>
      <c r="J145" s="164">
        <v>85730.661068250003</v>
      </c>
      <c r="K145" s="164">
        <v>70520.368854600005</v>
      </c>
      <c r="L145" s="164"/>
      <c r="M145" s="485">
        <v>1</v>
      </c>
      <c r="N145" s="485">
        <v>1</v>
      </c>
      <c r="O145" s="485">
        <v>1</v>
      </c>
      <c r="P145" s="802">
        <v>0</v>
      </c>
      <c r="Q145" s="802">
        <v>85730.661068250003</v>
      </c>
      <c r="R145" s="802">
        <v>70520.368854600005</v>
      </c>
      <c r="S145" s="803">
        <v>156251.02992285002</v>
      </c>
      <c r="T145" s="487">
        <v>0</v>
      </c>
      <c r="U145" s="487">
        <v>3357.4475711072973</v>
      </c>
      <c r="V145" s="487">
        <v>2761.7708550733864</v>
      </c>
      <c r="W145" s="481">
        <v>6119.2184261806842</v>
      </c>
      <c r="X145" s="772" t="s">
        <v>875</v>
      </c>
      <c r="Y145" s="96" t="s">
        <v>1885</v>
      </c>
      <c r="Z145" s="96"/>
      <c r="AA145" s="4"/>
      <c r="AB145" s="4"/>
      <c r="AC145" s="4"/>
      <c r="AD145" s="4"/>
    </row>
    <row r="146" spans="1:30" ht="14.25" customHeight="1">
      <c r="A146" s="768"/>
      <c r="B146" s="4"/>
      <c r="C146" s="768" t="s">
        <v>1885</v>
      </c>
      <c r="D146" s="121" t="s">
        <v>962</v>
      </c>
      <c r="E146" s="264"/>
      <c r="F146" s="221"/>
      <c r="G146" s="221"/>
      <c r="H146" s="221"/>
      <c r="I146" s="164">
        <v>0</v>
      </c>
      <c r="J146" s="164">
        <v>128595.99160237498</v>
      </c>
      <c r="K146" s="164">
        <v>105780.55328190001</v>
      </c>
      <c r="L146" s="164"/>
      <c r="M146" s="485">
        <v>1</v>
      </c>
      <c r="N146" s="485">
        <v>1</v>
      </c>
      <c r="O146" s="485">
        <v>1</v>
      </c>
      <c r="P146" s="802">
        <v>0</v>
      </c>
      <c r="Q146" s="802">
        <v>128595.99160237498</v>
      </c>
      <c r="R146" s="802">
        <v>105780.55328190001</v>
      </c>
      <c r="S146" s="803">
        <v>234376.544884275</v>
      </c>
      <c r="T146" s="487">
        <v>0</v>
      </c>
      <c r="U146" s="487">
        <v>5036.1713566609451</v>
      </c>
      <c r="V146" s="487">
        <v>4142.656282610079</v>
      </c>
      <c r="W146" s="481">
        <v>9178.827639271025</v>
      </c>
      <c r="X146" s="772" t="s">
        <v>881</v>
      </c>
      <c r="Y146" s="96" t="s">
        <v>1885</v>
      </c>
      <c r="Z146" s="96"/>
      <c r="AA146" s="4"/>
      <c r="AB146" s="4"/>
      <c r="AC146" s="4"/>
      <c r="AD146" s="4"/>
    </row>
    <row r="147" spans="1:30" ht="14.25" customHeight="1">
      <c r="A147" s="768"/>
      <c r="B147" s="4"/>
      <c r="C147" s="768" t="s">
        <v>1885</v>
      </c>
      <c r="D147" s="546" t="s">
        <v>1047</v>
      </c>
      <c r="E147" s="547"/>
      <c r="F147" s="547"/>
      <c r="G147" s="547"/>
      <c r="H147" s="547"/>
      <c r="I147" s="488">
        <v>0</v>
      </c>
      <c r="J147" s="488">
        <v>1071633.263353125</v>
      </c>
      <c r="K147" s="488">
        <v>881504.61068250006</v>
      </c>
      <c r="L147" s="488"/>
      <c r="M147" s="485">
        <v>1</v>
      </c>
      <c r="N147" s="485">
        <v>1</v>
      </c>
      <c r="O147" s="485">
        <v>1</v>
      </c>
      <c r="P147" s="486">
        <v>0</v>
      </c>
      <c r="Q147" s="486">
        <v>1071633.263353125</v>
      </c>
      <c r="R147" s="486">
        <v>881504.61068250006</v>
      </c>
      <c r="S147" s="487">
        <v>1953137.874035625</v>
      </c>
      <c r="T147" s="487">
        <v>0</v>
      </c>
      <c r="U147" s="487">
        <v>41968.094638841212</v>
      </c>
      <c r="V147" s="487">
        <v>34522.135688417329</v>
      </c>
      <c r="W147" s="491">
        <v>76490.230327258541</v>
      </c>
      <c r="X147" s="772"/>
      <c r="Y147" s="96"/>
      <c r="Z147" s="96"/>
      <c r="AA147" s="4"/>
      <c r="AB147" s="4"/>
      <c r="AC147" s="4"/>
      <c r="AD147" s="4"/>
    </row>
    <row r="148" spans="1:30" ht="14.25" customHeight="1">
      <c r="A148" s="768"/>
      <c r="B148" s="4"/>
      <c r="C148" s="768" t="s">
        <v>1885</v>
      </c>
      <c r="D148" s="96"/>
      <c r="E148" s="96"/>
      <c r="F148" s="96"/>
      <c r="G148" s="96"/>
      <c r="H148" s="96"/>
      <c r="I148" s="563">
        <v>0</v>
      </c>
      <c r="J148" s="563">
        <v>41968.094638841212</v>
      </c>
      <c r="K148" s="563">
        <v>33483.435618316027</v>
      </c>
      <c r="L148" s="563"/>
      <c r="M148" s="492"/>
      <c r="N148" s="96"/>
      <c r="O148" s="96"/>
      <c r="P148" s="96"/>
      <c r="Q148" s="96"/>
      <c r="R148" s="96"/>
      <c r="S148" s="96"/>
      <c r="T148" s="96"/>
      <c r="U148" s="96"/>
      <c r="V148" s="96"/>
      <c r="W148" s="481"/>
      <c r="X148" s="772"/>
      <c r="Y148" s="96"/>
      <c r="Z148" s="96"/>
      <c r="AA148" s="4"/>
      <c r="AB148" s="4"/>
      <c r="AC148" s="4"/>
      <c r="AD148" s="4"/>
    </row>
    <row r="149" spans="1:30" ht="14.25" customHeight="1">
      <c r="A149" s="768"/>
      <c r="B149" s="4"/>
      <c r="C149" s="768" t="s">
        <v>1885</v>
      </c>
      <c r="D149" s="96"/>
      <c r="E149" s="96">
        <v>3064</v>
      </c>
      <c r="F149" s="96">
        <v>244</v>
      </c>
      <c r="G149" s="96">
        <v>12.557377049180328</v>
      </c>
      <c r="H149" s="96"/>
      <c r="I149" s="96"/>
      <c r="J149" s="492"/>
      <c r="K149" s="492"/>
      <c r="L149" s="492"/>
      <c r="M149" s="492"/>
      <c r="N149" s="96"/>
      <c r="O149" s="96"/>
      <c r="P149" s="96"/>
      <c r="Q149" s="96"/>
      <c r="R149" s="96"/>
      <c r="S149" s="96"/>
      <c r="T149" s="96"/>
      <c r="U149" s="96"/>
      <c r="V149" s="96"/>
      <c r="W149" s="481"/>
      <c r="X149" s="772"/>
      <c r="Y149" s="96"/>
      <c r="Z149" s="96"/>
      <c r="AA149" s="4"/>
      <c r="AB149" s="4"/>
      <c r="AC149" s="4"/>
      <c r="AD149" s="4"/>
    </row>
    <row r="150" spans="1:30" ht="14.25" customHeight="1">
      <c r="A150" s="768"/>
      <c r="B150" s="4"/>
      <c r="C150" s="768" t="s">
        <v>1885</v>
      </c>
      <c r="D150" s="96"/>
      <c r="E150" s="96"/>
      <c r="F150" s="96"/>
      <c r="G150" s="96"/>
      <c r="H150" s="96"/>
      <c r="I150" s="96"/>
      <c r="J150" s="492"/>
      <c r="K150" s="492"/>
      <c r="L150" s="492"/>
      <c r="M150" s="492"/>
      <c r="N150" s="96"/>
      <c r="O150" s="96"/>
      <c r="P150" s="96"/>
      <c r="Q150" s="96"/>
      <c r="R150" s="96"/>
      <c r="S150" s="96"/>
      <c r="T150" s="96"/>
      <c r="U150" s="96"/>
      <c r="V150" s="96"/>
      <c r="W150" s="481"/>
      <c r="X150" s="772"/>
      <c r="Y150" s="96"/>
      <c r="Z150" s="96"/>
      <c r="AA150" s="4"/>
      <c r="AB150" s="4"/>
      <c r="AC150" s="4"/>
      <c r="AD150" s="4"/>
    </row>
    <row r="151" spans="1:30" ht="14.25" customHeight="1">
      <c r="A151" s="768"/>
      <c r="B151" s="4"/>
      <c r="C151" s="768" t="s">
        <v>1885</v>
      </c>
      <c r="D151" s="804" t="s">
        <v>2174</v>
      </c>
      <c r="E151" s="792"/>
      <c r="F151" s="792"/>
      <c r="G151" s="792"/>
      <c r="H151" s="792"/>
      <c r="I151" s="792"/>
      <c r="J151" s="792"/>
      <c r="K151" s="492"/>
      <c r="L151" s="792"/>
      <c r="M151" s="492"/>
      <c r="N151" s="96"/>
      <c r="O151" s="96"/>
      <c r="P151" s="96"/>
      <c r="Q151" s="96"/>
      <c r="R151" s="96"/>
      <c r="S151" s="96"/>
      <c r="T151" s="96"/>
      <c r="U151" s="96"/>
      <c r="V151" s="96"/>
      <c r="W151" s="481"/>
      <c r="X151" s="772"/>
      <c r="Y151" s="96"/>
      <c r="Z151" s="96"/>
      <c r="AA151" s="4"/>
      <c r="AB151" s="4"/>
      <c r="AC151" s="4"/>
      <c r="AD151" s="4"/>
    </row>
    <row r="152" spans="1:30" ht="14.25" customHeight="1">
      <c r="A152" s="768"/>
      <c r="B152" s="4"/>
      <c r="C152" s="768" t="s">
        <v>1885</v>
      </c>
      <c r="D152" s="143" t="s">
        <v>1304</v>
      </c>
      <c r="E152" s="113" t="s">
        <v>1388</v>
      </c>
      <c r="F152" s="113" t="s">
        <v>1307</v>
      </c>
      <c r="G152" s="113" t="s">
        <v>1308</v>
      </c>
      <c r="H152" s="113" t="s">
        <v>1309</v>
      </c>
      <c r="I152" s="113" t="s">
        <v>972</v>
      </c>
      <c r="J152" s="113" t="s">
        <v>973</v>
      </c>
      <c r="K152" s="143" t="s">
        <v>974</v>
      </c>
      <c r="L152" s="113"/>
      <c r="M152" s="492"/>
      <c r="N152" s="96"/>
      <c r="O152" s="96"/>
      <c r="P152" s="96"/>
      <c r="Q152" s="96"/>
      <c r="R152" s="96"/>
      <c r="S152" s="96"/>
      <c r="T152" s="96"/>
      <c r="U152" s="96"/>
      <c r="V152" s="96"/>
      <c r="W152" s="481"/>
      <c r="X152" s="772"/>
      <c r="Y152" s="96"/>
      <c r="Z152" s="96"/>
      <c r="AA152" s="4"/>
      <c r="AB152" s="4"/>
      <c r="AC152" s="4"/>
      <c r="AD152" s="4"/>
    </row>
    <row r="153" spans="1:30" ht="14.25" customHeight="1">
      <c r="A153" s="768"/>
      <c r="B153" s="4"/>
      <c r="C153" s="768" t="s">
        <v>1885</v>
      </c>
      <c r="D153" s="530" t="s">
        <v>2175</v>
      </c>
      <c r="E153" s="164">
        <v>1174.5858499999999</v>
      </c>
      <c r="F153" s="194"/>
      <c r="G153" s="194">
        <v>350</v>
      </c>
      <c r="H153" s="194">
        <v>350</v>
      </c>
      <c r="I153" s="164">
        <v>0</v>
      </c>
      <c r="J153" s="164">
        <v>411105.04749999999</v>
      </c>
      <c r="K153" s="164">
        <v>411105.04749999999</v>
      </c>
      <c r="L153" s="164"/>
      <c r="M153" s="485">
        <v>1</v>
      </c>
      <c r="N153" s="485">
        <v>1</v>
      </c>
      <c r="O153" s="485">
        <v>1</v>
      </c>
      <c r="P153" s="802">
        <v>0</v>
      </c>
      <c r="Q153" s="802">
        <v>411105.04749999999</v>
      </c>
      <c r="R153" s="802">
        <v>411105.04749999999</v>
      </c>
      <c r="S153" s="803">
        <v>822210.09499999997</v>
      </c>
      <c r="T153" s="487">
        <v>0</v>
      </c>
      <c r="U153" s="487">
        <v>16100</v>
      </c>
      <c r="V153" s="487">
        <v>16100</v>
      </c>
      <c r="W153" s="481">
        <v>32200</v>
      </c>
      <c r="X153" s="772" t="s">
        <v>877</v>
      </c>
      <c r="Y153" s="96" t="s">
        <v>1885</v>
      </c>
      <c r="Z153" s="96"/>
      <c r="AA153" s="4"/>
      <c r="AB153" s="4"/>
      <c r="AC153" s="4"/>
      <c r="AD153" s="4"/>
    </row>
    <row r="154" spans="1:30" ht="14.25" customHeight="1">
      <c r="A154" s="768"/>
      <c r="B154" s="4"/>
      <c r="C154" s="768" t="s">
        <v>1885</v>
      </c>
      <c r="D154" s="530" t="s">
        <v>2176</v>
      </c>
      <c r="E154" s="164">
        <v>3064.1370000000002</v>
      </c>
      <c r="F154" s="194"/>
      <c r="G154" s="194">
        <v>675</v>
      </c>
      <c r="H154" s="194">
        <v>675</v>
      </c>
      <c r="I154" s="164">
        <v>0</v>
      </c>
      <c r="J154" s="164">
        <v>2068292.4750000001</v>
      </c>
      <c r="K154" s="164">
        <v>2068292.4750000001</v>
      </c>
      <c r="L154" s="164"/>
      <c r="M154" s="485">
        <v>1</v>
      </c>
      <c r="N154" s="485">
        <v>1</v>
      </c>
      <c r="O154" s="485">
        <v>1</v>
      </c>
      <c r="P154" s="802">
        <v>0</v>
      </c>
      <c r="Q154" s="802">
        <v>2068292.4750000001</v>
      </c>
      <c r="R154" s="802">
        <v>2068292.4750000001</v>
      </c>
      <c r="S154" s="803">
        <v>4136584.95</v>
      </c>
      <c r="T154" s="487">
        <v>0</v>
      </c>
      <c r="U154" s="487">
        <v>81000</v>
      </c>
      <c r="V154" s="487">
        <v>81000</v>
      </c>
      <c r="W154" s="481">
        <v>162000</v>
      </c>
      <c r="X154" s="772" t="s">
        <v>989</v>
      </c>
      <c r="Y154" s="96" t="s">
        <v>1885</v>
      </c>
      <c r="Z154" s="96"/>
      <c r="AA154" s="4"/>
      <c r="AB154" s="4"/>
      <c r="AC154" s="4"/>
      <c r="AD154" s="4"/>
    </row>
    <row r="155" spans="1:30" ht="14.25" customHeight="1">
      <c r="A155" s="768"/>
      <c r="B155" s="4"/>
      <c r="C155" s="768" t="s">
        <v>1885</v>
      </c>
      <c r="D155" s="530" t="s">
        <v>2177</v>
      </c>
      <c r="E155" s="164">
        <v>12800</v>
      </c>
      <c r="F155" s="194"/>
      <c r="G155" s="194">
        <v>95</v>
      </c>
      <c r="H155" s="194">
        <v>94</v>
      </c>
      <c r="I155" s="164">
        <v>0</v>
      </c>
      <c r="J155" s="164">
        <v>1216000</v>
      </c>
      <c r="K155" s="164">
        <v>1203200</v>
      </c>
      <c r="L155" s="164"/>
      <c r="M155" s="485">
        <v>1</v>
      </c>
      <c r="N155" s="485">
        <v>1</v>
      </c>
      <c r="O155" s="485">
        <v>1</v>
      </c>
      <c r="P155" s="802">
        <v>0</v>
      </c>
      <c r="Q155" s="802">
        <v>1216000</v>
      </c>
      <c r="R155" s="802">
        <v>1203200</v>
      </c>
      <c r="S155" s="803">
        <v>2419200</v>
      </c>
      <c r="T155" s="487">
        <v>0</v>
      </c>
      <c r="U155" s="487">
        <v>47621.891579913041</v>
      </c>
      <c r="V155" s="487">
        <v>47120.608510650796</v>
      </c>
      <c r="W155" s="481">
        <v>94742.50009056383</v>
      </c>
      <c r="X155" s="772" t="s">
        <v>977</v>
      </c>
      <c r="Y155" s="96" t="s">
        <v>1885</v>
      </c>
      <c r="Z155" s="96"/>
      <c r="AA155" s="4"/>
      <c r="AB155" s="4"/>
      <c r="AC155" s="4"/>
      <c r="AD155" s="4"/>
    </row>
    <row r="156" spans="1:30" ht="14.25" customHeight="1">
      <c r="A156" s="768"/>
      <c r="B156" s="4"/>
      <c r="C156" s="768" t="s">
        <v>1885</v>
      </c>
      <c r="D156" s="530" t="s">
        <v>2178</v>
      </c>
      <c r="E156" s="164">
        <v>14800</v>
      </c>
      <c r="F156" s="194"/>
      <c r="G156" s="194">
        <v>54</v>
      </c>
      <c r="H156" s="194">
        <v>54</v>
      </c>
      <c r="I156" s="164">
        <v>0</v>
      </c>
      <c r="J156" s="164">
        <v>799200</v>
      </c>
      <c r="K156" s="164">
        <v>799200</v>
      </c>
      <c r="L156" s="164"/>
      <c r="M156" s="485">
        <v>1</v>
      </c>
      <c r="N156" s="485">
        <v>1</v>
      </c>
      <c r="O156" s="485">
        <v>1</v>
      </c>
      <c r="P156" s="802">
        <v>0</v>
      </c>
      <c r="Q156" s="802">
        <v>799200</v>
      </c>
      <c r="R156" s="802">
        <v>799200</v>
      </c>
      <c r="S156" s="803">
        <v>1598400</v>
      </c>
      <c r="T156" s="487">
        <v>0</v>
      </c>
      <c r="U156" s="487">
        <v>31298.861637061265</v>
      </c>
      <c r="V156" s="487">
        <v>31298.861637061265</v>
      </c>
      <c r="W156" s="481">
        <v>62597.723274122531</v>
      </c>
      <c r="X156" s="772" t="s">
        <v>977</v>
      </c>
      <c r="Y156" s="96" t="s">
        <v>1885</v>
      </c>
      <c r="Z156" s="96"/>
      <c r="AA156" s="4"/>
      <c r="AB156" s="4"/>
      <c r="AC156" s="4"/>
      <c r="AD156" s="4"/>
    </row>
    <row r="157" spans="1:30" ht="14.25" customHeight="1">
      <c r="A157" s="768"/>
      <c r="B157" s="4"/>
      <c r="C157" s="768" t="s">
        <v>1885</v>
      </c>
      <c r="D157" s="530" t="s">
        <v>2179</v>
      </c>
      <c r="E157" s="164">
        <v>16597.408749999999</v>
      </c>
      <c r="F157" s="194"/>
      <c r="G157" s="194">
        <v>27</v>
      </c>
      <c r="H157" s="194">
        <v>27</v>
      </c>
      <c r="I157" s="164">
        <v>0</v>
      </c>
      <c r="J157" s="164">
        <v>448130.03624999995</v>
      </c>
      <c r="K157" s="164">
        <v>448130.03624999995</v>
      </c>
      <c r="L157" s="164"/>
      <c r="M157" s="485">
        <v>1</v>
      </c>
      <c r="N157" s="485">
        <v>1</v>
      </c>
      <c r="O157" s="485">
        <v>1</v>
      </c>
      <c r="P157" s="802">
        <v>0</v>
      </c>
      <c r="Q157" s="802">
        <v>448130.03624999995</v>
      </c>
      <c r="R157" s="802">
        <v>448130.03624999995</v>
      </c>
      <c r="S157" s="803">
        <v>896260.07249999989</v>
      </c>
      <c r="T157" s="487">
        <v>0</v>
      </c>
      <c r="U157" s="487">
        <v>17549.999999999996</v>
      </c>
      <c r="V157" s="487">
        <v>17549.999999999996</v>
      </c>
      <c r="W157" s="481">
        <v>35099.999999999993</v>
      </c>
      <c r="X157" s="772" t="s">
        <v>977</v>
      </c>
      <c r="Y157" s="96" t="s">
        <v>1885</v>
      </c>
      <c r="Z157" s="96"/>
      <c r="AA157" s="4"/>
      <c r="AB157" s="4"/>
      <c r="AC157" s="4"/>
      <c r="AD157" s="4"/>
    </row>
    <row r="158" spans="1:30" ht="14.25" customHeight="1">
      <c r="A158" s="768"/>
      <c r="B158" s="4"/>
      <c r="C158" s="768" t="s">
        <v>1885</v>
      </c>
      <c r="D158" s="530" t="s">
        <v>2180</v>
      </c>
      <c r="E158" s="164">
        <v>17874.1325</v>
      </c>
      <c r="F158" s="194"/>
      <c r="G158" s="194">
        <v>15</v>
      </c>
      <c r="H158" s="194">
        <v>12</v>
      </c>
      <c r="I158" s="164">
        <v>0</v>
      </c>
      <c r="J158" s="164">
        <v>268111.98749999999</v>
      </c>
      <c r="K158" s="164">
        <v>214489.59</v>
      </c>
      <c r="L158" s="164"/>
      <c r="M158" s="485">
        <v>1</v>
      </c>
      <c r="N158" s="485">
        <v>1</v>
      </c>
      <c r="O158" s="485">
        <v>1</v>
      </c>
      <c r="P158" s="802">
        <v>0</v>
      </c>
      <c r="Q158" s="802">
        <v>268111.98749999999</v>
      </c>
      <c r="R158" s="802">
        <v>214489.59</v>
      </c>
      <c r="S158" s="803">
        <v>482601.57750000001</v>
      </c>
      <c r="T158" s="487">
        <v>0</v>
      </c>
      <c r="U158" s="487">
        <v>10500</v>
      </c>
      <c r="V158" s="487">
        <v>8400</v>
      </c>
      <c r="W158" s="481">
        <v>18900</v>
      </c>
      <c r="X158" s="772" t="s">
        <v>977</v>
      </c>
      <c r="Y158" s="96" t="s">
        <v>1885</v>
      </c>
      <c r="Z158" s="96"/>
      <c r="AA158" s="4"/>
      <c r="AB158" s="4"/>
      <c r="AC158" s="4"/>
      <c r="AD158" s="4"/>
    </row>
    <row r="159" spans="1:30" ht="14.25" customHeight="1">
      <c r="A159" s="768"/>
      <c r="B159" s="4"/>
      <c r="C159" s="768" t="s">
        <v>1885</v>
      </c>
      <c r="D159" s="121" t="s">
        <v>1001</v>
      </c>
      <c r="E159" s="164"/>
      <c r="F159" s="164"/>
      <c r="G159" s="164"/>
      <c r="H159" s="164"/>
      <c r="I159" s="164">
        <v>0</v>
      </c>
      <c r="J159" s="164">
        <v>521083.95462500001</v>
      </c>
      <c r="K159" s="164">
        <v>514441.71487500001</v>
      </c>
      <c r="L159" s="164"/>
      <c r="M159" s="485">
        <v>1</v>
      </c>
      <c r="N159" s="485">
        <v>1</v>
      </c>
      <c r="O159" s="485">
        <v>1</v>
      </c>
      <c r="P159" s="802">
        <v>0</v>
      </c>
      <c r="Q159" s="802">
        <v>521083.95462500001</v>
      </c>
      <c r="R159" s="802">
        <v>514441.71487500001</v>
      </c>
      <c r="S159" s="803">
        <v>1035525.6695000001</v>
      </c>
      <c r="T159" s="487">
        <v>0</v>
      </c>
      <c r="U159" s="487">
        <v>20407.07532169743</v>
      </c>
      <c r="V159" s="487">
        <v>20146.947014771205</v>
      </c>
      <c r="W159" s="481">
        <v>40554.022336468639</v>
      </c>
      <c r="X159" s="772" t="s">
        <v>875</v>
      </c>
      <c r="Y159" s="96" t="s">
        <v>1885</v>
      </c>
      <c r="Z159" s="96"/>
      <c r="AA159" s="4"/>
      <c r="AB159" s="4"/>
      <c r="AC159" s="4"/>
      <c r="AD159" s="4"/>
    </row>
    <row r="160" spans="1:30" ht="14.25" customHeight="1">
      <c r="A160" s="768"/>
      <c r="B160" s="4"/>
      <c r="C160" s="768" t="s">
        <v>1885</v>
      </c>
      <c r="D160" s="121" t="s">
        <v>962</v>
      </c>
      <c r="E160" s="264"/>
      <c r="F160" s="221"/>
      <c r="G160" s="221"/>
      <c r="H160" s="221"/>
      <c r="I160" s="164">
        <v>0</v>
      </c>
      <c r="J160" s="164">
        <v>781625.9319374999</v>
      </c>
      <c r="K160" s="164">
        <v>771662.57231249998</v>
      </c>
      <c r="L160" s="164"/>
      <c r="M160" s="485">
        <v>1</v>
      </c>
      <c r="N160" s="485">
        <v>1</v>
      </c>
      <c r="O160" s="485">
        <v>1</v>
      </c>
      <c r="P160" s="802">
        <v>0</v>
      </c>
      <c r="Q160" s="802">
        <v>781625.9319374999</v>
      </c>
      <c r="R160" s="802">
        <v>771662.57231249998</v>
      </c>
      <c r="S160" s="803">
        <v>1553288.5042499998</v>
      </c>
      <c r="T160" s="487">
        <v>0</v>
      </c>
      <c r="U160" s="487">
        <v>30610.612982546143</v>
      </c>
      <c r="V160" s="487">
        <v>30220.420522156808</v>
      </c>
      <c r="W160" s="481">
        <v>60831.033504702944</v>
      </c>
      <c r="X160" s="772" t="s">
        <v>881</v>
      </c>
      <c r="Y160" s="96" t="s">
        <v>1885</v>
      </c>
      <c r="Z160" s="96"/>
      <c r="AA160" s="4"/>
      <c r="AB160" s="4"/>
      <c r="AC160" s="4"/>
      <c r="AD160" s="4"/>
    </row>
    <row r="161" spans="1:30" ht="14.25" customHeight="1">
      <c r="A161" s="768"/>
      <c r="B161" s="4"/>
      <c r="C161" s="768" t="s">
        <v>1885</v>
      </c>
      <c r="D161" s="546" t="s">
        <v>1047</v>
      </c>
      <c r="E161" s="547"/>
      <c r="F161" s="547"/>
      <c r="G161" s="547"/>
      <c r="H161" s="547"/>
      <c r="I161" s="488">
        <v>0</v>
      </c>
      <c r="J161" s="488">
        <v>6513549.4328124998</v>
      </c>
      <c r="K161" s="488">
        <v>6430521.4359374996</v>
      </c>
      <c r="L161" s="488"/>
      <c r="M161" s="485">
        <v>1</v>
      </c>
      <c r="N161" s="485">
        <v>1</v>
      </c>
      <c r="O161" s="485">
        <v>1</v>
      </c>
      <c r="P161" s="486">
        <v>0</v>
      </c>
      <c r="Q161" s="486">
        <v>6513549.4328124998</v>
      </c>
      <c r="R161" s="486">
        <v>6430521.4359374996</v>
      </c>
      <c r="S161" s="487">
        <v>12944070.868749999</v>
      </c>
      <c r="T161" s="487">
        <v>0</v>
      </c>
      <c r="U161" s="487">
        <v>255088.44152121787</v>
      </c>
      <c r="V161" s="487">
        <v>251836.83768464005</v>
      </c>
      <c r="W161" s="491">
        <v>506925.27920585789</v>
      </c>
      <c r="X161" s="772"/>
      <c r="Y161" s="96"/>
      <c r="Z161" s="96"/>
      <c r="AA161" s="4"/>
      <c r="AB161" s="4"/>
      <c r="AC161" s="4"/>
      <c r="AD161" s="4"/>
    </row>
    <row r="162" spans="1:30" ht="14.25" customHeight="1">
      <c r="A162" s="768"/>
      <c r="B162" s="4"/>
      <c r="C162" s="768" t="s">
        <v>1885</v>
      </c>
      <c r="D162" s="96"/>
      <c r="E162" s="96"/>
      <c r="F162" s="96"/>
      <c r="G162" s="96"/>
      <c r="H162" s="96"/>
      <c r="I162" s="563">
        <v>0</v>
      </c>
      <c r="J162" s="563">
        <v>255088.44152121787</v>
      </c>
      <c r="K162" s="563">
        <v>232049.99999999997</v>
      </c>
      <c r="L162" s="563"/>
      <c r="M162" s="492"/>
      <c r="N162" s="96"/>
      <c r="O162" s="96"/>
      <c r="P162" s="96"/>
      <c r="Q162" s="96"/>
      <c r="R162" s="96"/>
      <c r="S162" s="96"/>
      <c r="T162" s="96"/>
      <c r="U162" s="96"/>
      <c r="V162" s="96"/>
      <c r="W162" s="481"/>
      <c r="X162" s="772"/>
      <c r="Y162" s="96"/>
      <c r="Z162" s="96"/>
      <c r="AA162" s="4"/>
      <c r="AB162" s="4"/>
      <c r="AC162" s="4"/>
      <c r="AD162" s="4"/>
    </row>
    <row r="163" spans="1:30" ht="14.25" customHeight="1">
      <c r="A163" s="768"/>
      <c r="B163" s="4"/>
      <c r="C163" s="768" t="s">
        <v>1885</v>
      </c>
      <c r="D163" s="104"/>
      <c r="E163" s="113" t="s">
        <v>1388</v>
      </c>
      <c r="F163" s="104"/>
      <c r="G163" s="104"/>
      <c r="H163" s="104"/>
      <c r="I163" s="104"/>
      <c r="J163" s="564"/>
      <c r="K163" s="564"/>
      <c r="L163" s="564"/>
      <c r="M163" s="492"/>
      <c r="N163" s="96"/>
      <c r="O163" s="96"/>
      <c r="P163" s="96"/>
      <c r="Q163" s="96"/>
      <c r="R163" s="96"/>
      <c r="S163" s="96"/>
      <c r="T163" s="96"/>
      <c r="U163" s="96"/>
      <c r="V163" s="96"/>
      <c r="W163" s="481"/>
      <c r="X163" s="772"/>
      <c r="Y163" s="96"/>
      <c r="Z163" s="96"/>
      <c r="AA163" s="4"/>
      <c r="AB163" s="4"/>
      <c r="AC163" s="4"/>
      <c r="AD163" s="4"/>
    </row>
    <row r="164" spans="1:30" ht="14.25" customHeight="1">
      <c r="A164" s="768"/>
      <c r="B164" s="4"/>
      <c r="C164" s="768" t="s">
        <v>1885</v>
      </c>
      <c r="D164" s="546" t="s">
        <v>1903</v>
      </c>
      <c r="E164" s="565">
        <v>2681119.875</v>
      </c>
      <c r="F164" s="566"/>
      <c r="G164" s="566"/>
      <c r="H164" s="566"/>
      <c r="I164" s="567"/>
      <c r="J164" s="567"/>
      <c r="K164" s="568"/>
      <c r="L164" s="567"/>
      <c r="M164" s="805"/>
      <c r="N164" s="806">
        <v>1</v>
      </c>
      <c r="O164" s="569"/>
      <c r="P164" s="486">
        <v>0</v>
      </c>
      <c r="Q164" s="486">
        <v>2681119.875</v>
      </c>
      <c r="R164" s="486">
        <v>0</v>
      </c>
      <c r="S164" s="487">
        <v>2681119.875</v>
      </c>
      <c r="T164" s="487">
        <v>0</v>
      </c>
      <c r="U164" s="487">
        <v>105000</v>
      </c>
      <c r="V164" s="487">
        <v>0</v>
      </c>
      <c r="W164" s="481">
        <v>105000</v>
      </c>
      <c r="X164" s="772" t="s">
        <v>1903</v>
      </c>
      <c r="Y164" s="96" t="s">
        <v>1885</v>
      </c>
      <c r="Z164" s="96" t="s">
        <v>2181</v>
      </c>
      <c r="AA164" s="4"/>
      <c r="AB164" s="4"/>
      <c r="AC164" s="4"/>
      <c r="AD164" s="4"/>
    </row>
    <row r="165" spans="1:30" ht="14.25" customHeight="1">
      <c r="A165" s="768"/>
      <c r="B165" s="4"/>
      <c r="C165" s="768" t="s">
        <v>1885</v>
      </c>
      <c r="D165" s="122" t="s">
        <v>1862</v>
      </c>
      <c r="E165" s="565">
        <v>536250</v>
      </c>
      <c r="F165" s="566"/>
      <c r="G165" s="566"/>
      <c r="H165" s="566"/>
      <c r="I165" s="567"/>
      <c r="J165" s="567"/>
      <c r="K165" s="568"/>
      <c r="L165" s="567"/>
      <c r="M165" s="805"/>
      <c r="N165" s="806">
        <v>1</v>
      </c>
      <c r="O165" s="569"/>
      <c r="P165" s="486">
        <v>0</v>
      </c>
      <c r="Q165" s="486">
        <v>536250</v>
      </c>
      <c r="R165" s="486">
        <v>0</v>
      </c>
      <c r="S165" s="487">
        <v>536250</v>
      </c>
      <c r="T165" s="487">
        <v>0</v>
      </c>
      <c r="U165" s="487">
        <v>21001.019210302933</v>
      </c>
      <c r="V165" s="487">
        <v>0</v>
      </c>
      <c r="W165" s="481">
        <v>21001.019210302933</v>
      </c>
      <c r="X165" s="772" t="s">
        <v>1862</v>
      </c>
      <c r="Y165" s="96" t="s">
        <v>1885</v>
      </c>
      <c r="Z165" s="96" t="s">
        <v>2181</v>
      </c>
      <c r="AA165" s="4"/>
      <c r="AB165" s="4"/>
      <c r="AC165" s="4"/>
      <c r="AD165" s="4"/>
    </row>
    <row r="166" spans="1:30" ht="14.25" customHeight="1">
      <c r="A166" s="768"/>
      <c r="B166" s="4"/>
      <c r="C166" s="768" t="s">
        <v>1885</v>
      </c>
      <c r="D166" s="122" t="s">
        <v>1909</v>
      </c>
      <c r="E166" s="565">
        <v>130800</v>
      </c>
      <c r="F166" s="566"/>
      <c r="G166" s="566"/>
      <c r="H166" s="566"/>
      <c r="I166" s="567"/>
      <c r="J166" s="567"/>
      <c r="K166" s="568"/>
      <c r="L166" s="567"/>
      <c r="M166" s="805"/>
      <c r="N166" s="806">
        <v>1</v>
      </c>
      <c r="O166" s="569"/>
      <c r="P166" s="486">
        <v>0</v>
      </c>
      <c r="Q166" s="486">
        <v>130800</v>
      </c>
      <c r="R166" s="486">
        <v>0</v>
      </c>
      <c r="S166" s="487">
        <v>130800</v>
      </c>
      <c r="T166" s="487">
        <v>0</v>
      </c>
      <c r="U166" s="487">
        <v>5122.4863640235408</v>
      </c>
      <c r="V166" s="487">
        <v>0</v>
      </c>
      <c r="W166" s="481">
        <v>5122.4863640235408</v>
      </c>
      <c r="X166" s="772" t="s">
        <v>1909</v>
      </c>
      <c r="Y166" s="96" t="s">
        <v>1885</v>
      </c>
      <c r="Z166" s="96" t="s">
        <v>2181</v>
      </c>
      <c r="AA166" s="4"/>
      <c r="AB166" s="4"/>
      <c r="AC166" s="4"/>
      <c r="AD166" s="4"/>
    </row>
    <row r="167" spans="1:30" ht="14.25" customHeight="1">
      <c r="A167" s="768"/>
      <c r="B167" s="4"/>
      <c r="C167" s="768" t="s">
        <v>1885</v>
      </c>
      <c r="D167" s="122" t="s">
        <v>1392</v>
      </c>
      <c r="E167" s="565">
        <v>579800</v>
      </c>
      <c r="F167" s="566"/>
      <c r="G167" s="566"/>
      <c r="H167" s="566"/>
      <c r="I167" s="567"/>
      <c r="J167" s="567"/>
      <c r="K167" s="568"/>
      <c r="L167" s="567"/>
      <c r="M167" s="805"/>
      <c r="N167" s="806">
        <v>1</v>
      </c>
      <c r="O167" s="569"/>
      <c r="P167" s="486">
        <v>0</v>
      </c>
      <c r="Q167" s="486">
        <v>579800</v>
      </c>
      <c r="R167" s="486">
        <v>0</v>
      </c>
      <c r="S167" s="487">
        <v>579800</v>
      </c>
      <c r="T167" s="487">
        <v>0</v>
      </c>
      <c r="U167" s="487">
        <v>22706.556527988141</v>
      </c>
      <c r="V167" s="487">
        <v>0</v>
      </c>
      <c r="W167" s="481">
        <v>22706.556527988141</v>
      </c>
      <c r="X167" s="772" t="s">
        <v>1392</v>
      </c>
      <c r="Y167" s="96" t="s">
        <v>1885</v>
      </c>
      <c r="Z167" s="96" t="s">
        <v>2181</v>
      </c>
      <c r="AA167" s="4"/>
      <c r="AB167" s="4"/>
      <c r="AC167" s="4"/>
      <c r="AD167" s="4"/>
    </row>
    <row r="168" spans="1:30" ht="14.25" customHeight="1">
      <c r="A168" s="768"/>
      <c r="B168" s="4"/>
      <c r="C168" s="768" t="s">
        <v>1885</v>
      </c>
      <c r="D168" s="570" t="s">
        <v>2182</v>
      </c>
      <c r="E168" s="571">
        <v>125000</v>
      </c>
      <c r="F168" s="566"/>
      <c r="G168" s="566"/>
      <c r="H168" s="566"/>
      <c r="I168" s="567"/>
      <c r="J168" s="567"/>
      <c r="K168" s="568"/>
      <c r="L168" s="567"/>
      <c r="M168" s="807"/>
      <c r="N168" s="801">
        <v>22.5</v>
      </c>
      <c r="O168" s="801">
        <v>22.5</v>
      </c>
      <c r="P168" s="486">
        <v>0</v>
      </c>
      <c r="Q168" s="486">
        <v>2812500</v>
      </c>
      <c r="R168" s="486">
        <v>2812500</v>
      </c>
      <c r="S168" s="487">
        <v>5625000</v>
      </c>
      <c r="T168" s="487">
        <v>0</v>
      </c>
      <c r="U168" s="487">
        <v>110145.20564844196</v>
      </c>
      <c r="V168" s="487">
        <v>110145.20564844196</v>
      </c>
      <c r="W168" s="481">
        <v>220290.41129688392</v>
      </c>
      <c r="X168" s="772" t="s">
        <v>994</v>
      </c>
      <c r="Y168" s="96" t="s">
        <v>1885</v>
      </c>
      <c r="Z168" s="96"/>
      <c r="AA168" s="4"/>
      <c r="AB168" s="4"/>
      <c r="AC168" s="4"/>
      <c r="AD168" s="4"/>
    </row>
    <row r="169" spans="1:30" ht="14.25" customHeight="1">
      <c r="A169" s="768"/>
      <c r="B169" s="4"/>
      <c r="C169" s="768" t="s">
        <v>1885</v>
      </c>
      <c r="D169" s="104" t="s">
        <v>2165</v>
      </c>
      <c r="E169" s="565">
        <v>3334.1</v>
      </c>
      <c r="F169" s="104"/>
      <c r="G169" s="104"/>
      <c r="H169" s="104"/>
      <c r="I169" s="104"/>
      <c r="J169" s="564"/>
      <c r="K169" s="104"/>
      <c r="L169" s="564"/>
      <c r="M169" s="485"/>
      <c r="N169" s="485"/>
      <c r="O169" s="485">
        <v>90</v>
      </c>
      <c r="P169" s="486">
        <v>0</v>
      </c>
      <c r="Q169" s="486">
        <v>0</v>
      </c>
      <c r="R169" s="486">
        <v>300069</v>
      </c>
      <c r="S169" s="487">
        <v>300069</v>
      </c>
      <c r="T169" s="487">
        <v>0</v>
      </c>
      <c r="U169" s="487">
        <v>0</v>
      </c>
      <c r="V169" s="487">
        <v>11751.524164879051</v>
      </c>
      <c r="W169" s="481">
        <v>11751.524164879051</v>
      </c>
      <c r="X169" s="772" t="s">
        <v>848</v>
      </c>
      <c r="Y169" s="96" t="s">
        <v>1885</v>
      </c>
      <c r="Z169" s="96"/>
      <c r="AA169" s="4"/>
      <c r="AB169" s="4"/>
      <c r="AC169" s="4"/>
      <c r="AD169" s="4"/>
    </row>
    <row r="170" spans="1:30" ht="14.25" customHeight="1">
      <c r="A170" s="768"/>
      <c r="B170" s="4"/>
      <c r="C170" s="768" t="s">
        <v>1885</v>
      </c>
      <c r="D170" s="546" t="s">
        <v>1047</v>
      </c>
      <c r="E170" s="547"/>
      <c r="F170" s="547"/>
      <c r="G170" s="547"/>
      <c r="H170" s="547"/>
      <c r="I170" s="488"/>
      <c r="J170" s="488"/>
      <c r="K170" s="488"/>
      <c r="L170" s="488"/>
      <c r="M170" s="485"/>
      <c r="N170" s="485"/>
      <c r="O170" s="485"/>
      <c r="P170" s="486">
        <v>0</v>
      </c>
      <c r="Q170" s="486">
        <v>6740469.875</v>
      </c>
      <c r="R170" s="486">
        <v>3112569</v>
      </c>
      <c r="S170" s="487">
        <v>9853038.875</v>
      </c>
      <c r="T170" s="487">
        <v>0</v>
      </c>
      <c r="U170" s="487">
        <v>263975.26775075658</v>
      </c>
      <c r="V170" s="487">
        <v>121896.72981332101</v>
      </c>
      <c r="W170" s="491">
        <v>385871.99756407755</v>
      </c>
      <c r="X170" s="772"/>
      <c r="Y170" s="96"/>
      <c r="Z170" s="96"/>
      <c r="AA170" s="4"/>
      <c r="AB170" s="4"/>
      <c r="AC170" s="4"/>
      <c r="AD170" s="4"/>
    </row>
    <row r="171" spans="1:30" ht="14.25" customHeight="1">
      <c r="A171" s="768"/>
      <c r="B171" s="4"/>
      <c r="C171" s="768" t="s">
        <v>1885</v>
      </c>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4"/>
      <c r="AB171" s="4"/>
      <c r="AC171" s="4"/>
      <c r="AD171" s="4"/>
    </row>
    <row r="172" spans="1:30" ht="14.25" customHeight="1">
      <c r="A172" s="768"/>
      <c r="B172" s="4"/>
      <c r="C172" s="768" t="s">
        <v>1885</v>
      </c>
      <c r="D172" s="808" t="s">
        <v>2183</v>
      </c>
      <c r="E172" s="808"/>
      <c r="F172" s="808"/>
      <c r="G172" s="808"/>
      <c r="H172" s="808"/>
      <c r="I172" s="808"/>
      <c r="J172" s="808"/>
      <c r="K172" s="809"/>
      <c r="L172" s="560"/>
      <c r="M172" s="572"/>
      <c r="N172" s="67"/>
      <c r="O172" s="67"/>
      <c r="P172" s="67"/>
      <c r="Q172" s="67"/>
      <c r="R172" s="67"/>
      <c r="S172" s="67"/>
      <c r="T172" s="67"/>
      <c r="U172" s="67"/>
      <c r="V172" s="67"/>
      <c r="W172" s="67"/>
      <c r="X172" s="67"/>
      <c r="Y172" s="67"/>
      <c r="Z172" s="67"/>
      <c r="AA172" s="4"/>
      <c r="AB172" s="4"/>
      <c r="AC172" s="4"/>
      <c r="AD172" s="4"/>
    </row>
    <row r="173" spans="1:30" ht="14.25" customHeight="1">
      <c r="A173" s="768"/>
      <c r="B173" s="4"/>
      <c r="C173" s="768" t="s">
        <v>1885</v>
      </c>
      <c r="D173" s="573" t="s">
        <v>2184</v>
      </c>
      <c r="E173" s="574" t="s">
        <v>2075</v>
      </c>
      <c r="F173" s="575" t="s">
        <v>2185</v>
      </c>
      <c r="G173" s="576" t="s">
        <v>2186</v>
      </c>
      <c r="H173" s="576" t="s">
        <v>2187</v>
      </c>
      <c r="I173" s="576" t="s">
        <v>2188</v>
      </c>
      <c r="J173" s="576" t="s">
        <v>2189</v>
      </c>
      <c r="K173" s="560"/>
      <c r="L173" s="560"/>
      <c r="M173" s="572"/>
      <c r="N173" s="67"/>
      <c r="O173" s="67"/>
      <c r="P173" s="67"/>
      <c r="Q173" s="67"/>
      <c r="R173" s="67"/>
      <c r="S173" s="67"/>
      <c r="T173" s="67"/>
      <c r="U173" s="67"/>
      <c r="V173" s="67"/>
      <c r="W173" s="67"/>
      <c r="X173" s="67"/>
      <c r="Y173" s="67"/>
      <c r="Z173" s="67"/>
      <c r="AA173" s="4"/>
      <c r="AB173" s="4"/>
      <c r="AC173" s="4"/>
      <c r="AD173" s="4"/>
    </row>
    <row r="174" spans="1:30" ht="14.25" customHeight="1">
      <c r="A174" s="768"/>
      <c r="B174" s="4"/>
      <c r="C174" s="768" t="s">
        <v>1885</v>
      </c>
      <c r="D174" s="508" t="s">
        <v>1903</v>
      </c>
      <c r="E174" s="508" t="s">
        <v>2190</v>
      </c>
      <c r="F174" s="577" t="s">
        <v>2191</v>
      </c>
      <c r="G174" s="578">
        <v>7660.3424999999997</v>
      </c>
      <c r="H174" s="508">
        <v>200</v>
      </c>
      <c r="I174" s="579">
        <v>1532068.5</v>
      </c>
      <c r="J174" s="579">
        <v>60000</v>
      </c>
      <c r="K174" s="500"/>
      <c r="L174" s="560"/>
      <c r="M174" s="572"/>
      <c r="N174" s="67"/>
      <c r="O174" s="67"/>
      <c r="P174" s="67"/>
      <c r="Q174" s="67"/>
      <c r="R174" s="67"/>
      <c r="S174" s="67"/>
      <c r="T174" s="67"/>
      <c r="U174" s="67"/>
      <c r="V174" s="67"/>
      <c r="W174" s="67"/>
      <c r="X174" s="67"/>
      <c r="Y174" s="67"/>
      <c r="Z174" s="67"/>
      <c r="AA174" s="4"/>
      <c r="AB174" s="4"/>
      <c r="AC174" s="4"/>
      <c r="AD174" s="4"/>
    </row>
    <row r="175" spans="1:30" ht="14.25" customHeight="1">
      <c r="A175" s="768"/>
      <c r="B175" s="4"/>
      <c r="C175" s="768" t="s">
        <v>1885</v>
      </c>
      <c r="D175" s="508"/>
      <c r="E175" s="580" t="s">
        <v>2192</v>
      </c>
      <c r="F175" s="581"/>
      <c r="G175" s="578"/>
      <c r="H175" s="508"/>
      <c r="I175" s="579">
        <v>0</v>
      </c>
      <c r="J175" s="579">
        <v>0</v>
      </c>
      <c r="K175" s="500"/>
      <c r="L175" s="560"/>
      <c r="M175" s="572"/>
      <c r="N175" s="67"/>
      <c r="O175" s="67"/>
      <c r="P175" s="67"/>
      <c r="Q175" s="67"/>
      <c r="R175" s="67"/>
      <c r="S175" s="67"/>
      <c r="T175" s="67"/>
      <c r="U175" s="67"/>
      <c r="V175" s="67"/>
      <c r="W175" s="67"/>
      <c r="X175" s="67"/>
      <c r="Y175" s="67"/>
      <c r="Z175" s="67"/>
      <c r="AA175" s="4"/>
      <c r="AB175" s="4"/>
      <c r="AC175" s="4"/>
      <c r="AD175" s="4"/>
    </row>
    <row r="176" spans="1:30" ht="14.25" customHeight="1">
      <c r="A176" s="768"/>
      <c r="B176" s="4"/>
      <c r="C176" s="768" t="s">
        <v>1885</v>
      </c>
      <c r="D176" s="508" t="s">
        <v>1862</v>
      </c>
      <c r="E176" s="508" t="s">
        <v>2193</v>
      </c>
      <c r="F176" s="577" t="s">
        <v>2194</v>
      </c>
      <c r="G176" s="578">
        <v>2000</v>
      </c>
      <c r="H176" s="508">
        <v>8</v>
      </c>
      <c r="I176" s="579">
        <v>16000</v>
      </c>
      <c r="J176" s="579">
        <v>626.60383657780312</v>
      </c>
      <c r="K176" s="500"/>
      <c r="L176" s="560"/>
      <c r="M176" s="572"/>
      <c r="N176" s="67"/>
      <c r="O176" s="67"/>
      <c r="P176" s="67"/>
      <c r="Q176" s="67"/>
      <c r="R176" s="67"/>
      <c r="S176" s="67"/>
      <c r="T176" s="67"/>
      <c r="U176" s="67"/>
      <c r="V176" s="67"/>
      <c r="W176" s="67"/>
      <c r="X176" s="67"/>
      <c r="Y176" s="67"/>
      <c r="Z176" s="67"/>
      <c r="AA176" s="4"/>
      <c r="AB176" s="4"/>
      <c r="AC176" s="4"/>
      <c r="AD176" s="4"/>
    </row>
    <row r="177" spans="1:30" ht="14.25" customHeight="1">
      <c r="A177" s="768"/>
      <c r="B177" s="4"/>
      <c r="C177" s="768" t="s">
        <v>1885</v>
      </c>
      <c r="D177" s="508" t="s">
        <v>1862</v>
      </c>
      <c r="E177" s="508" t="s">
        <v>2195</v>
      </c>
      <c r="F177" s="577" t="s">
        <v>2194</v>
      </c>
      <c r="G177" s="578">
        <v>2500</v>
      </c>
      <c r="H177" s="508">
        <v>4</v>
      </c>
      <c r="I177" s="579">
        <v>10000</v>
      </c>
      <c r="J177" s="579">
        <v>391.62739786112695</v>
      </c>
      <c r="K177" s="500"/>
      <c r="L177" s="560"/>
      <c r="M177" s="572"/>
      <c r="N177" s="67"/>
      <c r="O177" s="67"/>
      <c r="P177" s="67"/>
      <c r="Q177" s="67"/>
      <c r="R177" s="67"/>
      <c r="S177" s="67"/>
      <c r="T177" s="67"/>
      <c r="U177" s="67"/>
      <c r="V177" s="67"/>
      <c r="W177" s="67"/>
      <c r="X177" s="67"/>
      <c r="Y177" s="67"/>
      <c r="Z177" s="67"/>
      <c r="AA177" s="4"/>
      <c r="AB177" s="4"/>
      <c r="AC177" s="4"/>
      <c r="AD177" s="4"/>
    </row>
    <row r="178" spans="1:30" ht="14.25" customHeight="1">
      <c r="A178" s="768"/>
      <c r="B178" s="4"/>
      <c r="C178" s="768" t="s">
        <v>1885</v>
      </c>
      <c r="D178" s="508" t="s">
        <v>1862</v>
      </c>
      <c r="E178" s="508" t="s">
        <v>2196</v>
      </c>
      <c r="F178" s="577" t="s">
        <v>2194</v>
      </c>
      <c r="G178" s="578">
        <v>600</v>
      </c>
      <c r="H178" s="508">
        <v>8</v>
      </c>
      <c r="I178" s="579">
        <v>4800</v>
      </c>
      <c r="J178" s="579">
        <v>187.98115097334093</v>
      </c>
      <c r="K178" s="500"/>
      <c r="L178" s="560"/>
      <c r="M178" s="572"/>
      <c r="N178" s="67"/>
      <c r="O178" s="67"/>
      <c r="P178" s="67"/>
      <c r="Q178" s="67"/>
      <c r="R178" s="67"/>
      <c r="S178" s="67"/>
      <c r="T178" s="67"/>
      <c r="U178" s="67"/>
      <c r="V178" s="67"/>
      <c r="W178" s="67"/>
      <c r="X178" s="67"/>
      <c r="Y178" s="67"/>
      <c r="Z178" s="67"/>
      <c r="AA178" s="4"/>
      <c r="AB178" s="4"/>
      <c r="AC178" s="4"/>
      <c r="AD178" s="4"/>
    </row>
    <row r="179" spans="1:30" ht="14.25" customHeight="1">
      <c r="A179" s="768"/>
      <c r="B179" s="4"/>
      <c r="C179" s="768" t="s">
        <v>1885</v>
      </c>
      <c r="D179" s="508" t="s">
        <v>1862</v>
      </c>
      <c r="E179" s="508" t="s">
        <v>2197</v>
      </c>
      <c r="F179" s="577" t="s">
        <v>2194</v>
      </c>
      <c r="G179" s="578">
        <v>300</v>
      </c>
      <c r="H179" s="508">
        <v>8</v>
      </c>
      <c r="I179" s="579">
        <v>2400</v>
      </c>
      <c r="J179" s="579">
        <v>93.990575486670465</v>
      </c>
      <c r="K179" s="500"/>
      <c r="L179" s="560"/>
      <c r="M179" s="572"/>
      <c r="N179" s="67"/>
      <c r="O179" s="67"/>
      <c r="P179" s="67"/>
      <c r="Q179" s="67"/>
      <c r="R179" s="67"/>
      <c r="S179" s="67"/>
      <c r="T179" s="67"/>
      <c r="U179" s="67"/>
      <c r="V179" s="67"/>
      <c r="W179" s="67"/>
      <c r="X179" s="67"/>
      <c r="Y179" s="67"/>
      <c r="Z179" s="67"/>
      <c r="AA179" s="4"/>
      <c r="AB179" s="4"/>
      <c r="AC179" s="4"/>
      <c r="AD179" s="4"/>
    </row>
    <row r="180" spans="1:30" ht="14.25" customHeight="1">
      <c r="A180" s="768"/>
      <c r="B180" s="4"/>
      <c r="C180" s="768" t="s">
        <v>1885</v>
      </c>
      <c r="D180" s="508" t="s">
        <v>1862</v>
      </c>
      <c r="E180" s="508" t="s">
        <v>2198</v>
      </c>
      <c r="F180" s="577" t="s">
        <v>2194</v>
      </c>
      <c r="G180" s="578">
        <v>3500</v>
      </c>
      <c r="H180" s="508">
        <v>1</v>
      </c>
      <c r="I180" s="579">
        <v>3500</v>
      </c>
      <c r="J180" s="579">
        <v>137.06958925139443</v>
      </c>
      <c r="K180" s="500"/>
      <c r="L180" s="560"/>
      <c r="M180" s="572"/>
      <c r="N180" s="67"/>
      <c r="O180" s="67"/>
      <c r="P180" s="67"/>
      <c r="Q180" s="67"/>
      <c r="R180" s="67"/>
      <c r="S180" s="67"/>
      <c r="T180" s="67"/>
      <c r="U180" s="67"/>
      <c r="V180" s="67"/>
      <c r="W180" s="67"/>
      <c r="X180" s="67"/>
      <c r="Y180" s="67"/>
      <c r="Z180" s="67"/>
      <c r="AA180" s="4"/>
      <c r="AB180" s="4"/>
      <c r="AC180" s="4"/>
      <c r="AD180" s="4"/>
    </row>
    <row r="181" spans="1:30" ht="14.25" customHeight="1">
      <c r="A181" s="768"/>
      <c r="B181" s="4"/>
      <c r="C181" s="768" t="s">
        <v>1885</v>
      </c>
      <c r="D181" s="508" t="s">
        <v>1862</v>
      </c>
      <c r="E181" s="508" t="s">
        <v>2199</v>
      </c>
      <c r="F181" s="577" t="s">
        <v>2194</v>
      </c>
      <c r="G181" s="578">
        <v>2500</v>
      </c>
      <c r="H181" s="508">
        <v>1</v>
      </c>
      <c r="I181" s="579">
        <v>2500</v>
      </c>
      <c r="J181" s="579">
        <v>97.906849465281738</v>
      </c>
      <c r="K181" s="500"/>
      <c r="L181" s="560"/>
      <c r="M181" s="572"/>
      <c r="N181" s="67"/>
      <c r="O181" s="67"/>
      <c r="P181" s="67"/>
      <c r="Q181" s="67"/>
      <c r="R181" s="67"/>
      <c r="S181" s="67"/>
      <c r="T181" s="67"/>
      <c r="U181" s="67"/>
      <c r="V181" s="67"/>
      <c r="W181" s="67"/>
      <c r="X181" s="67"/>
      <c r="Y181" s="67"/>
      <c r="Z181" s="67"/>
      <c r="AA181" s="4"/>
      <c r="AB181" s="4"/>
      <c r="AC181" s="4"/>
      <c r="AD181" s="4"/>
    </row>
    <row r="182" spans="1:30" ht="14.25" customHeight="1">
      <c r="A182" s="768"/>
      <c r="B182" s="4"/>
      <c r="C182" s="768" t="s">
        <v>1885</v>
      </c>
      <c r="D182" s="508" t="s">
        <v>1862</v>
      </c>
      <c r="E182" s="508" t="s">
        <v>2200</v>
      </c>
      <c r="F182" s="577" t="s">
        <v>2194</v>
      </c>
      <c r="G182" s="578">
        <v>700</v>
      </c>
      <c r="H182" s="508">
        <v>8</v>
      </c>
      <c r="I182" s="579">
        <v>5600</v>
      </c>
      <c r="J182" s="579">
        <v>219.31134280223111</v>
      </c>
      <c r="K182" s="500"/>
      <c r="L182" s="560"/>
      <c r="M182" s="572"/>
      <c r="N182" s="67"/>
      <c r="O182" s="67"/>
      <c r="P182" s="67"/>
      <c r="Q182" s="67"/>
      <c r="R182" s="67"/>
      <c r="S182" s="67"/>
      <c r="T182" s="67"/>
      <c r="U182" s="67"/>
      <c r="V182" s="67"/>
      <c r="W182" s="67"/>
      <c r="X182" s="67"/>
      <c r="Y182" s="67"/>
      <c r="Z182" s="67"/>
      <c r="AA182" s="4"/>
      <c r="AB182" s="4"/>
      <c r="AC182" s="4"/>
      <c r="AD182" s="4"/>
    </row>
    <row r="183" spans="1:30" ht="14.25" customHeight="1">
      <c r="A183" s="768"/>
      <c r="B183" s="4"/>
      <c r="C183" s="768" t="s">
        <v>1885</v>
      </c>
      <c r="D183" s="508"/>
      <c r="E183" s="580" t="s">
        <v>2201</v>
      </c>
      <c r="F183" s="577"/>
      <c r="G183" s="578"/>
      <c r="H183" s="508"/>
      <c r="I183" s="579">
        <v>0</v>
      </c>
      <c r="J183" s="579">
        <v>0</v>
      </c>
      <c r="K183" s="500"/>
      <c r="L183" s="560"/>
      <c r="M183" s="572"/>
      <c r="N183" s="67"/>
      <c r="O183" s="67"/>
      <c r="P183" s="67"/>
      <c r="Q183" s="67"/>
      <c r="R183" s="67"/>
      <c r="S183" s="67"/>
      <c r="T183" s="67"/>
      <c r="U183" s="67"/>
      <c r="V183" s="67"/>
      <c r="W183" s="67"/>
      <c r="X183" s="67"/>
      <c r="Y183" s="67"/>
      <c r="Z183" s="67"/>
      <c r="AA183" s="4"/>
      <c r="AB183" s="4"/>
      <c r="AC183" s="4"/>
      <c r="AD183" s="4"/>
    </row>
    <row r="184" spans="1:30" ht="14.25" customHeight="1">
      <c r="A184" s="768"/>
      <c r="B184" s="4"/>
      <c r="C184" s="768" t="s">
        <v>1885</v>
      </c>
      <c r="D184" s="508" t="s">
        <v>1862</v>
      </c>
      <c r="E184" s="508" t="s">
        <v>2202</v>
      </c>
      <c r="F184" s="577" t="s">
        <v>2194</v>
      </c>
      <c r="G184" s="578">
        <v>2500</v>
      </c>
      <c r="H184" s="508">
        <v>1</v>
      </c>
      <c r="I184" s="579">
        <v>2500</v>
      </c>
      <c r="J184" s="579">
        <v>97.906849465281738</v>
      </c>
      <c r="K184" s="500"/>
      <c r="L184" s="560"/>
      <c r="M184" s="572"/>
      <c r="N184" s="67"/>
      <c r="O184" s="67"/>
      <c r="P184" s="67"/>
      <c r="Q184" s="67"/>
      <c r="R184" s="67"/>
      <c r="S184" s="67"/>
      <c r="T184" s="67"/>
      <c r="U184" s="67"/>
      <c r="V184" s="67"/>
      <c r="W184" s="67"/>
      <c r="X184" s="67"/>
      <c r="Y184" s="67"/>
      <c r="Z184" s="67"/>
      <c r="AA184" s="4"/>
      <c r="AB184" s="4"/>
      <c r="AC184" s="4"/>
      <c r="AD184" s="4"/>
    </row>
    <row r="185" spans="1:30" ht="14.25" customHeight="1">
      <c r="A185" s="768"/>
      <c r="B185" s="4"/>
      <c r="C185" s="768" t="s">
        <v>1885</v>
      </c>
      <c r="D185" s="508" t="s">
        <v>1862</v>
      </c>
      <c r="E185" s="508" t="s">
        <v>2203</v>
      </c>
      <c r="F185" s="577" t="s">
        <v>2194</v>
      </c>
      <c r="G185" s="578">
        <v>3500</v>
      </c>
      <c r="H185" s="508">
        <v>1</v>
      </c>
      <c r="I185" s="579">
        <v>3500</v>
      </c>
      <c r="J185" s="579">
        <v>137.06958925139443</v>
      </c>
      <c r="K185" s="500"/>
      <c r="L185" s="560"/>
      <c r="M185" s="572"/>
      <c r="N185" s="67"/>
      <c r="O185" s="67"/>
      <c r="P185" s="67"/>
      <c r="Q185" s="67"/>
      <c r="R185" s="67"/>
      <c r="S185" s="67"/>
      <c r="T185" s="67"/>
      <c r="U185" s="67"/>
      <c r="V185" s="67"/>
      <c r="W185" s="67"/>
      <c r="X185" s="67"/>
      <c r="Y185" s="67"/>
      <c r="Z185" s="67"/>
      <c r="AA185" s="4"/>
      <c r="AB185" s="4"/>
      <c r="AC185" s="4"/>
      <c r="AD185" s="4"/>
    </row>
    <row r="186" spans="1:30" ht="14.25" customHeight="1">
      <c r="A186" s="768"/>
      <c r="B186" s="4"/>
      <c r="C186" s="768" t="s">
        <v>1885</v>
      </c>
      <c r="D186" s="508" t="s">
        <v>1862</v>
      </c>
      <c r="E186" s="508" t="s">
        <v>2204</v>
      </c>
      <c r="F186" s="577" t="s">
        <v>2194</v>
      </c>
      <c r="G186" s="578">
        <v>2000</v>
      </c>
      <c r="H186" s="508">
        <v>2</v>
      </c>
      <c r="I186" s="579">
        <v>4000</v>
      </c>
      <c r="J186" s="579">
        <v>156.65095914445078</v>
      </c>
      <c r="K186" s="500"/>
      <c r="L186" s="560"/>
      <c r="M186" s="572"/>
      <c r="N186" s="67"/>
      <c r="O186" s="67"/>
      <c r="P186" s="67"/>
      <c r="Q186" s="67"/>
      <c r="R186" s="67"/>
      <c r="S186" s="67"/>
      <c r="T186" s="67"/>
      <c r="U186" s="67"/>
      <c r="V186" s="67"/>
      <c r="W186" s="67"/>
      <c r="X186" s="67"/>
      <c r="Y186" s="67"/>
      <c r="Z186" s="67"/>
      <c r="AA186" s="4"/>
      <c r="AB186" s="4"/>
      <c r="AC186" s="4"/>
      <c r="AD186" s="4"/>
    </row>
    <row r="187" spans="1:30" ht="14.25" customHeight="1">
      <c r="A187" s="768"/>
      <c r="B187" s="4"/>
      <c r="C187" s="768" t="s">
        <v>1885</v>
      </c>
      <c r="D187" s="508" t="s">
        <v>1862</v>
      </c>
      <c r="E187" s="508" t="s">
        <v>2205</v>
      </c>
      <c r="F187" s="577" t="s">
        <v>2194</v>
      </c>
      <c r="G187" s="578">
        <v>600</v>
      </c>
      <c r="H187" s="508">
        <v>8</v>
      </c>
      <c r="I187" s="579">
        <v>4800</v>
      </c>
      <c r="J187" s="579">
        <v>187.98115097334093</v>
      </c>
      <c r="K187" s="500"/>
      <c r="L187" s="560"/>
      <c r="M187" s="572"/>
      <c r="N187" s="67"/>
      <c r="O187" s="67"/>
      <c r="P187" s="67"/>
      <c r="Q187" s="67"/>
      <c r="R187" s="67"/>
      <c r="S187" s="67"/>
      <c r="T187" s="67"/>
      <c r="U187" s="67"/>
      <c r="V187" s="67"/>
      <c r="W187" s="67"/>
      <c r="X187" s="67"/>
      <c r="Y187" s="67"/>
      <c r="Z187" s="67"/>
      <c r="AA187" s="4"/>
      <c r="AB187" s="4"/>
      <c r="AC187" s="4"/>
      <c r="AD187" s="4"/>
    </row>
    <row r="188" spans="1:30" ht="14.25" customHeight="1">
      <c r="A188" s="768"/>
      <c r="B188" s="4"/>
      <c r="C188" s="768" t="s">
        <v>1885</v>
      </c>
      <c r="D188" s="508" t="s">
        <v>1909</v>
      </c>
      <c r="E188" s="508" t="s">
        <v>2206</v>
      </c>
      <c r="F188" s="577" t="s">
        <v>2194</v>
      </c>
      <c r="G188" s="578">
        <v>5500</v>
      </c>
      <c r="H188" s="508">
        <v>1</v>
      </c>
      <c r="I188" s="579">
        <v>5500</v>
      </c>
      <c r="J188" s="579">
        <v>215.39506882361982</v>
      </c>
      <c r="K188" s="500"/>
      <c r="L188" s="560"/>
      <c r="M188" s="572"/>
      <c r="N188" s="67"/>
      <c r="O188" s="67"/>
      <c r="P188" s="67"/>
      <c r="Q188" s="67"/>
      <c r="R188" s="67"/>
      <c r="S188" s="67"/>
      <c r="T188" s="67"/>
      <c r="U188" s="67"/>
      <c r="V188" s="67"/>
      <c r="W188" s="67"/>
      <c r="X188" s="67"/>
      <c r="Y188" s="67"/>
      <c r="Z188" s="67"/>
      <c r="AA188" s="4"/>
      <c r="AB188" s="4"/>
      <c r="AC188" s="4"/>
      <c r="AD188" s="4"/>
    </row>
    <row r="189" spans="1:30" ht="14.25" customHeight="1">
      <c r="A189" s="768"/>
      <c r="B189" s="4"/>
      <c r="C189" s="768" t="s">
        <v>1885</v>
      </c>
      <c r="D189" s="508" t="s">
        <v>1909</v>
      </c>
      <c r="E189" s="508" t="s">
        <v>2207</v>
      </c>
      <c r="F189" s="577" t="s">
        <v>2194</v>
      </c>
      <c r="G189" s="578">
        <v>3000</v>
      </c>
      <c r="H189" s="508">
        <v>1</v>
      </c>
      <c r="I189" s="579">
        <v>3000</v>
      </c>
      <c r="J189" s="579">
        <v>117.48821935833809</v>
      </c>
      <c r="K189" s="500"/>
      <c r="L189" s="560"/>
      <c r="M189" s="572"/>
      <c r="N189" s="67"/>
      <c r="O189" s="67"/>
      <c r="P189" s="67"/>
      <c r="Q189" s="67"/>
      <c r="R189" s="67"/>
      <c r="S189" s="67"/>
      <c r="T189" s="67"/>
      <c r="U189" s="67"/>
      <c r="V189" s="67"/>
      <c r="W189" s="67"/>
      <c r="X189" s="67"/>
      <c r="Y189" s="67"/>
      <c r="Z189" s="67"/>
      <c r="AA189" s="4"/>
      <c r="AB189" s="4"/>
      <c r="AC189" s="4"/>
      <c r="AD189" s="4"/>
    </row>
    <row r="190" spans="1:30" ht="14.25" customHeight="1">
      <c r="A190" s="768"/>
      <c r="B190" s="4"/>
      <c r="C190" s="768" t="s">
        <v>1885</v>
      </c>
      <c r="D190" s="508" t="s">
        <v>1909</v>
      </c>
      <c r="E190" s="508" t="s">
        <v>2208</v>
      </c>
      <c r="F190" s="577" t="s">
        <v>2194</v>
      </c>
      <c r="G190" s="578">
        <v>9500</v>
      </c>
      <c r="H190" s="508">
        <v>1</v>
      </c>
      <c r="I190" s="579">
        <v>9500</v>
      </c>
      <c r="J190" s="579">
        <v>372.04602796807063</v>
      </c>
      <c r="K190" s="500"/>
      <c r="L190" s="560"/>
      <c r="M190" s="572"/>
      <c r="N190" s="67"/>
      <c r="O190" s="67"/>
      <c r="P190" s="67"/>
      <c r="Q190" s="67"/>
      <c r="R190" s="67"/>
      <c r="S190" s="67"/>
      <c r="T190" s="67"/>
      <c r="U190" s="67"/>
      <c r="V190" s="67"/>
      <c r="W190" s="67"/>
      <c r="X190" s="67"/>
      <c r="Y190" s="67"/>
      <c r="Z190" s="67"/>
      <c r="AA190" s="4"/>
      <c r="AB190" s="4"/>
      <c r="AC190" s="4"/>
      <c r="AD190" s="4"/>
    </row>
    <row r="191" spans="1:30" ht="14.25" customHeight="1">
      <c r="A191" s="768"/>
      <c r="B191" s="4"/>
      <c r="C191" s="768" t="s">
        <v>1885</v>
      </c>
      <c r="D191" s="508" t="s">
        <v>1909</v>
      </c>
      <c r="E191" s="508" t="s">
        <v>2209</v>
      </c>
      <c r="F191" s="577" t="s">
        <v>2194</v>
      </c>
      <c r="G191" s="578">
        <v>5000</v>
      </c>
      <c r="H191" s="508">
        <v>1</v>
      </c>
      <c r="I191" s="579">
        <v>5000</v>
      </c>
      <c r="J191" s="579">
        <v>195.81369893056348</v>
      </c>
      <c r="K191" s="500"/>
      <c r="L191" s="560"/>
      <c r="M191" s="572"/>
      <c r="N191" s="67"/>
      <c r="O191" s="67"/>
      <c r="P191" s="67"/>
      <c r="Q191" s="67"/>
      <c r="R191" s="67"/>
      <c r="S191" s="67"/>
      <c r="T191" s="67"/>
      <c r="U191" s="67"/>
      <c r="V191" s="67"/>
      <c r="W191" s="67"/>
      <c r="X191" s="67"/>
      <c r="Y191" s="67"/>
      <c r="Z191" s="67"/>
      <c r="AA191" s="4"/>
      <c r="AB191" s="4"/>
      <c r="AC191" s="4"/>
      <c r="AD191" s="4"/>
    </row>
    <row r="192" spans="1:30" ht="14.25" customHeight="1">
      <c r="A192" s="768"/>
      <c r="B192" s="4"/>
      <c r="C192" s="768" t="s">
        <v>1885</v>
      </c>
      <c r="D192" s="508" t="s">
        <v>1909</v>
      </c>
      <c r="E192" s="508" t="s">
        <v>2210</v>
      </c>
      <c r="F192" s="577" t="s">
        <v>2194</v>
      </c>
      <c r="G192" s="578">
        <v>700</v>
      </c>
      <c r="H192" s="508">
        <v>1</v>
      </c>
      <c r="I192" s="579">
        <v>700</v>
      </c>
      <c r="J192" s="579">
        <v>27.413917850278889</v>
      </c>
      <c r="K192" s="500"/>
      <c r="L192" s="560"/>
      <c r="M192" s="572"/>
      <c r="N192" s="67"/>
      <c r="O192" s="67"/>
      <c r="P192" s="67"/>
      <c r="Q192" s="67"/>
      <c r="R192" s="67"/>
      <c r="S192" s="67"/>
      <c r="T192" s="67"/>
      <c r="U192" s="67"/>
      <c r="V192" s="67"/>
      <c r="W192" s="67"/>
      <c r="X192" s="67"/>
      <c r="Y192" s="67"/>
      <c r="Z192" s="67"/>
      <c r="AA192" s="4"/>
      <c r="AB192" s="4"/>
      <c r="AC192" s="4"/>
      <c r="AD192" s="4"/>
    </row>
    <row r="193" spans="1:30" ht="14.25" customHeight="1">
      <c r="A193" s="768"/>
      <c r="B193" s="4"/>
      <c r="C193" s="768" t="s">
        <v>1885</v>
      </c>
      <c r="D193" s="508" t="s">
        <v>1909</v>
      </c>
      <c r="E193" s="508" t="s">
        <v>2211</v>
      </c>
      <c r="F193" s="577" t="s">
        <v>2194</v>
      </c>
      <c r="G193" s="578">
        <v>2500</v>
      </c>
      <c r="H193" s="508">
        <v>1</v>
      </c>
      <c r="I193" s="579">
        <v>2500</v>
      </c>
      <c r="J193" s="579">
        <v>97.906849465281738</v>
      </c>
      <c r="K193" s="500"/>
      <c r="L193" s="560"/>
      <c r="M193" s="572"/>
      <c r="N193" s="67"/>
      <c r="O193" s="67"/>
      <c r="P193" s="67"/>
      <c r="Q193" s="67"/>
      <c r="R193" s="67"/>
      <c r="S193" s="67"/>
      <c r="T193" s="67"/>
      <c r="U193" s="67"/>
      <c r="V193" s="67"/>
      <c r="W193" s="67"/>
      <c r="X193" s="67"/>
      <c r="Y193" s="67"/>
      <c r="Z193" s="67"/>
      <c r="AA193" s="4"/>
      <c r="AB193" s="4"/>
      <c r="AC193" s="4"/>
      <c r="AD193" s="4"/>
    </row>
    <row r="194" spans="1:30" ht="14.25" customHeight="1">
      <c r="A194" s="768"/>
      <c r="B194" s="4"/>
      <c r="C194" s="768" t="s">
        <v>1885</v>
      </c>
      <c r="D194" s="508" t="s">
        <v>1862</v>
      </c>
      <c r="E194" s="582" t="s">
        <v>2212</v>
      </c>
      <c r="F194" s="577" t="s">
        <v>2213</v>
      </c>
      <c r="G194" s="578">
        <v>2000</v>
      </c>
      <c r="H194" s="508">
        <v>1</v>
      </c>
      <c r="I194" s="579">
        <v>2000</v>
      </c>
      <c r="J194" s="579">
        <v>78.32547957222539</v>
      </c>
      <c r="K194" s="500"/>
      <c r="L194" s="560"/>
      <c r="M194" s="572"/>
      <c r="N194" s="67"/>
      <c r="O194" s="67"/>
      <c r="P194" s="67"/>
      <c r="Q194" s="67"/>
      <c r="R194" s="67"/>
      <c r="S194" s="67"/>
      <c r="T194" s="67"/>
      <c r="U194" s="67"/>
      <c r="V194" s="67"/>
      <c r="W194" s="67"/>
      <c r="X194" s="67"/>
      <c r="Y194" s="67"/>
      <c r="Z194" s="67"/>
      <c r="AA194" s="4"/>
      <c r="AB194" s="4"/>
      <c r="AC194" s="4"/>
      <c r="AD194" s="4"/>
    </row>
    <row r="195" spans="1:30" ht="14.25" customHeight="1">
      <c r="A195" s="768"/>
      <c r="B195" s="4"/>
      <c r="C195" s="768" t="s">
        <v>1885</v>
      </c>
      <c r="D195" s="508" t="s">
        <v>1862</v>
      </c>
      <c r="E195" s="508" t="s">
        <v>2214</v>
      </c>
      <c r="F195" s="577" t="s">
        <v>2194</v>
      </c>
      <c r="G195" s="578">
        <v>500</v>
      </c>
      <c r="H195" s="508">
        <v>1</v>
      </c>
      <c r="I195" s="579">
        <v>500</v>
      </c>
      <c r="J195" s="579">
        <v>19.581369893056348</v>
      </c>
      <c r="K195" s="500"/>
      <c r="L195" s="560"/>
      <c r="M195" s="572"/>
      <c r="N195" s="67"/>
      <c r="O195" s="67"/>
      <c r="P195" s="67"/>
      <c r="Q195" s="67"/>
      <c r="R195" s="67"/>
      <c r="S195" s="67"/>
      <c r="T195" s="67"/>
      <c r="U195" s="67"/>
      <c r="V195" s="67"/>
      <c r="W195" s="67"/>
      <c r="X195" s="67"/>
      <c r="Y195" s="67"/>
      <c r="Z195" s="67"/>
      <c r="AA195" s="4"/>
      <c r="AB195" s="4"/>
      <c r="AC195" s="4"/>
      <c r="AD195" s="4"/>
    </row>
    <row r="196" spans="1:30" ht="14.25" customHeight="1">
      <c r="A196" s="768"/>
      <c r="B196" s="4"/>
      <c r="C196" s="768" t="s">
        <v>1885</v>
      </c>
      <c r="D196" s="508"/>
      <c r="E196" s="580" t="s">
        <v>2215</v>
      </c>
      <c r="F196" s="577"/>
      <c r="G196" s="578"/>
      <c r="H196" s="508"/>
      <c r="I196" s="579">
        <v>0</v>
      </c>
      <c r="J196" s="579">
        <v>0</v>
      </c>
      <c r="K196" s="500"/>
      <c r="L196" s="560"/>
      <c r="M196" s="572"/>
      <c r="N196" s="67"/>
      <c r="O196" s="67"/>
      <c r="P196" s="67"/>
      <c r="Q196" s="67"/>
      <c r="R196" s="67"/>
      <c r="S196" s="67"/>
      <c r="T196" s="67"/>
      <c r="U196" s="67"/>
      <c r="V196" s="67"/>
      <c r="W196" s="67"/>
      <c r="X196" s="67"/>
      <c r="Y196" s="67"/>
      <c r="Z196" s="67"/>
      <c r="AA196" s="4"/>
      <c r="AB196" s="4"/>
      <c r="AC196" s="4"/>
      <c r="AD196" s="4"/>
    </row>
    <row r="197" spans="1:30" ht="14.25" customHeight="1">
      <c r="A197" s="768"/>
      <c r="B197" s="4"/>
      <c r="C197" s="768" t="s">
        <v>1885</v>
      </c>
      <c r="D197" s="508" t="s">
        <v>1862</v>
      </c>
      <c r="E197" s="508" t="s">
        <v>2216</v>
      </c>
      <c r="F197" s="577" t="s">
        <v>2194</v>
      </c>
      <c r="G197" s="578">
        <v>5000</v>
      </c>
      <c r="H197" s="508">
        <v>1</v>
      </c>
      <c r="I197" s="579">
        <v>5000</v>
      </c>
      <c r="J197" s="579">
        <v>195.81369893056348</v>
      </c>
      <c r="K197" s="500"/>
      <c r="L197" s="560"/>
      <c r="M197" s="572"/>
      <c r="N197" s="67"/>
      <c r="O197" s="67"/>
      <c r="P197" s="67"/>
      <c r="Q197" s="67"/>
      <c r="R197" s="67"/>
      <c r="S197" s="67"/>
      <c r="T197" s="67"/>
      <c r="U197" s="67"/>
      <c r="V197" s="67"/>
      <c r="W197" s="67"/>
      <c r="X197" s="67"/>
      <c r="Y197" s="67"/>
      <c r="Z197" s="67"/>
      <c r="AA197" s="4"/>
      <c r="AB197" s="4"/>
      <c r="AC197" s="4"/>
      <c r="AD197" s="4"/>
    </row>
    <row r="198" spans="1:30" ht="14.25" customHeight="1">
      <c r="A198" s="768"/>
      <c r="B198" s="4"/>
      <c r="C198" s="768" t="s">
        <v>1885</v>
      </c>
      <c r="D198" s="508" t="s">
        <v>1862</v>
      </c>
      <c r="E198" s="508" t="s">
        <v>2217</v>
      </c>
      <c r="F198" s="577" t="s">
        <v>2194</v>
      </c>
      <c r="G198" s="578">
        <v>4500</v>
      </c>
      <c r="H198" s="508">
        <v>1</v>
      </c>
      <c r="I198" s="579">
        <v>4500</v>
      </c>
      <c r="J198" s="579">
        <v>176.23232903750713</v>
      </c>
      <c r="K198" s="500"/>
      <c r="L198" s="560"/>
      <c r="M198" s="572"/>
      <c r="N198" s="67"/>
      <c r="O198" s="67"/>
      <c r="P198" s="67"/>
      <c r="Q198" s="67"/>
      <c r="R198" s="67"/>
      <c r="S198" s="67"/>
      <c r="T198" s="67"/>
      <c r="U198" s="67"/>
      <c r="V198" s="67"/>
      <c r="W198" s="67"/>
      <c r="X198" s="67"/>
      <c r="Y198" s="67"/>
      <c r="Z198" s="67"/>
      <c r="AA198" s="4"/>
      <c r="AB198" s="4"/>
      <c r="AC198" s="4"/>
      <c r="AD198" s="4"/>
    </row>
    <row r="199" spans="1:30" ht="14.25" customHeight="1">
      <c r="A199" s="768"/>
      <c r="B199" s="4"/>
      <c r="C199" s="768" t="s">
        <v>1885</v>
      </c>
      <c r="D199" s="508" t="s">
        <v>1862</v>
      </c>
      <c r="E199" s="508" t="s">
        <v>2218</v>
      </c>
      <c r="F199" s="577" t="s">
        <v>2194</v>
      </c>
      <c r="G199" s="578">
        <v>1500</v>
      </c>
      <c r="H199" s="508">
        <v>1</v>
      </c>
      <c r="I199" s="579">
        <v>1500</v>
      </c>
      <c r="J199" s="579">
        <v>58.744109679169043</v>
      </c>
      <c r="K199" s="500"/>
      <c r="L199" s="560"/>
      <c r="M199" s="572"/>
      <c r="N199" s="67"/>
      <c r="O199" s="67"/>
      <c r="P199" s="67"/>
      <c r="Q199" s="67"/>
      <c r="R199" s="67"/>
      <c r="S199" s="67"/>
      <c r="T199" s="67"/>
      <c r="U199" s="67"/>
      <c r="V199" s="67"/>
      <c r="W199" s="67"/>
      <c r="X199" s="67"/>
      <c r="Y199" s="67"/>
      <c r="Z199" s="67"/>
      <c r="AA199" s="4"/>
      <c r="AB199" s="4"/>
      <c r="AC199" s="4"/>
      <c r="AD199" s="4"/>
    </row>
    <row r="200" spans="1:30" ht="14.25" customHeight="1">
      <c r="A200" s="768"/>
      <c r="B200" s="4"/>
      <c r="C200" s="768" t="s">
        <v>1885</v>
      </c>
      <c r="D200" s="508" t="s">
        <v>1909</v>
      </c>
      <c r="E200" s="508" t="s">
        <v>2219</v>
      </c>
      <c r="F200" s="577" t="s">
        <v>2194</v>
      </c>
      <c r="G200" s="578">
        <v>6500</v>
      </c>
      <c r="H200" s="508">
        <v>1</v>
      </c>
      <c r="I200" s="579">
        <v>6500</v>
      </c>
      <c r="J200" s="579">
        <v>254.55780860973252</v>
      </c>
      <c r="K200" s="500"/>
      <c r="L200" s="560"/>
      <c r="M200" s="572"/>
      <c r="N200" s="67"/>
      <c r="O200" s="67"/>
      <c r="P200" s="67"/>
      <c r="Q200" s="67"/>
      <c r="R200" s="67"/>
      <c r="S200" s="67"/>
      <c r="T200" s="67"/>
      <c r="U200" s="67"/>
      <c r="V200" s="67"/>
      <c r="W200" s="67"/>
      <c r="X200" s="67"/>
      <c r="Y200" s="67"/>
      <c r="Z200" s="67"/>
      <c r="AA200" s="4"/>
      <c r="AB200" s="4"/>
      <c r="AC200" s="4"/>
      <c r="AD200" s="4"/>
    </row>
    <row r="201" spans="1:30" ht="14.25" customHeight="1">
      <c r="A201" s="768"/>
      <c r="B201" s="4"/>
      <c r="C201" s="768" t="s">
        <v>1885</v>
      </c>
      <c r="D201" s="508" t="s">
        <v>1909</v>
      </c>
      <c r="E201" s="508" t="s">
        <v>2209</v>
      </c>
      <c r="F201" s="577" t="s">
        <v>2194</v>
      </c>
      <c r="G201" s="578">
        <v>5000</v>
      </c>
      <c r="H201" s="508">
        <v>1</v>
      </c>
      <c r="I201" s="579">
        <v>5000</v>
      </c>
      <c r="J201" s="579">
        <v>195.81369893056348</v>
      </c>
      <c r="K201" s="500"/>
      <c r="L201" s="560"/>
      <c r="M201" s="572"/>
      <c r="N201" s="67"/>
      <c r="O201" s="67"/>
      <c r="P201" s="67"/>
      <c r="Q201" s="67"/>
      <c r="R201" s="67"/>
      <c r="S201" s="67"/>
      <c r="T201" s="67"/>
      <c r="U201" s="67"/>
      <c r="V201" s="67"/>
      <c r="W201" s="67"/>
      <c r="X201" s="67"/>
      <c r="Y201" s="67"/>
      <c r="Z201" s="67"/>
      <c r="AA201" s="4"/>
      <c r="AB201" s="4"/>
      <c r="AC201" s="4"/>
      <c r="AD201" s="4"/>
    </row>
    <row r="202" spans="1:30" ht="14.25" customHeight="1">
      <c r="A202" s="768"/>
      <c r="B202" s="4"/>
      <c r="C202" s="768" t="s">
        <v>1885</v>
      </c>
      <c r="D202" s="508"/>
      <c r="E202" s="580" t="s">
        <v>2220</v>
      </c>
      <c r="F202" s="577"/>
      <c r="G202" s="578"/>
      <c r="H202" s="508"/>
      <c r="I202" s="579">
        <v>0</v>
      </c>
      <c r="J202" s="579">
        <v>0</v>
      </c>
      <c r="K202" s="500"/>
      <c r="L202" s="560"/>
      <c r="M202" s="572"/>
      <c r="N202" s="67"/>
      <c r="O202" s="67"/>
      <c r="P202" s="67"/>
      <c r="Q202" s="67"/>
      <c r="R202" s="67"/>
      <c r="S202" s="67"/>
      <c r="T202" s="67"/>
      <c r="U202" s="67"/>
      <c r="V202" s="67"/>
      <c r="W202" s="67"/>
      <c r="X202" s="67"/>
      <c r="Y202" s="67"/>
      <c r="Z202" s="67"/>
      <c r="AA202" s="4"/>
      <c r="AB202" s="4"/>
      <c r="AC202" s="4"/>
      <c r="AD202" s="4"/>
    </row>
    <row r="203" spans="1:30" ht="14.25" customHeight="1">
      <c r="A203" s="768"/>
      <c r="B203" s="4"/>
      <c r="C203" s="768" t="s">
        <v>1885</v>
      </c>
      <c r="D203" s="508" t="s">
        <v>1909</v>
      </c>
      <c r="E203" s="508" t="s">
        <v>2221</v>
      </c>
      <c r="F203" s="577" t="s">
        <v>2194</v>
      </c>
      <c r="G203" s="578">
        <v>1000</v>
      </c>
      <c r="H203" s="508">
        <v>2</v>
      </c>
      <c r="I203" s="579">
        <v>2000</v>
      </c>
      <c r="J203" s="579">
        <v>78.32547957222539</v>
      </c>
      <c r="K203" s="500"/>
      <c r="L203" s="560"/>
      <c r="M203" s="572"/>
      <c r="N203" s="67"/>
      <c r="O203" s="67"/>
      <c r="P203" s="67"/>
      <c r="Q203" s="67"/>
      <c r="R203" s="67"/>
      <c r="S203" s="67"/>
      <c r="T203" s="67"/>
      <c r="U203" s="67"/>
      <c r="V203" s="67"/>
      <c r="W203" s="67"/>
      <c r="X203" s="67"/>
      <c r="Y203" s="67"/>
      <c r="Z203" s="67"/>
      <c r="AA203" s="4"/>
      <c r="AB203" s="4"/>
      <c r="AC203" s="4"/>
      <c r="AD203" s="4"/>
    </row>
    <row r="204" spans="1:30" ht="14.25" customHeight="1">
      <c r="A204" s="768"/>
      <c r="B204" s="4"/>
      <c r="C204" s="768" t="s">
        <v>1885</v>
      </c>
      <c r="D204" s="508" t="s">
        <v>1862</v>
      </c>
      <c r="E204" s="508" t="s">
        <v>2222</v>
      </c>
      <c r="F204" s="577" t="s">
        <v>2194</v>
      </c>
      <c r="G204" s="578">
        <v>450</v>
      </c>
      <c r="H204" s="508">
        <v>1</v>
      </c>
      <c r="I204" s="579">
        <v>450</v>
      </c>
      <c r="J204" s="579">
        <v>17.623232903750715</v>
      </c>
      <c r="K204" s="500"/>
      <c r="L204" s="560"/>
      <c r="M204" s="572"/>
      <c r="N204" s="67"/>
      <c r="O204" s="67"/>
      <c r="P204" s="67"/>
      <c r="Q204" s="67"/>
      <c r="R204" s="67"/>
      <c r="S204" s="67"/>
      <c r="T204" s="67"/>
      <c r="U204" s="67"/>
      <c r="V204" s="67"/>
      <c r="W204" s="67"/>
      <c r="X204" s="67"/>
      <c r="Y204" s="67"/>
      <c r="Z204" s="67"/>
      <c r="AA204" s="4"/>
      <c r="AB204" s="4"/>
      <c r="AC204" s="4"/>
      <c r="AD204" s="4"/>
    </row>
    <row r="205" spans="1:30" ht="14.25" customHeight="1">
      <c r="A205" s="768"/>
      <c r="B205" s="4"/>
      <c r="C205" s="768" t="s">
        <v>1885</v>
      </c>
      <c r="D205" s="508" t="s">
        <v>1909</v>
      </c>
      <c r="E205" s="508" t="s">
        <v>2223</v>
      </c>
      <c r="F205" s="577" t="s">
        <v>2194</v>
      </c>
      <c r="G205" s="578">
        <v>700</v>
      </c>
      <c r="H205" s="508">
        <v>2</v>
      </c>
      <c r="I205" s="579">
        <v>1400</v>
      </c>
      <c r="J205" s="579">
        <v>54.827835700557777</v>
      </c>
      <c r="K205" s="500"/>
      <c r="L205" s="560"/>
      <c r="M205" s="572"/>
      <c r="N205" s="67"/>
      <c r="O205" s="67"/>
      <c r="P205" s="67"/>
      <c r="Q205" s="67"/>
      <c r="R205" s="67"/>
      <c r="S205" s="67"/>
      <c r="T205" s="67"/>
      <c r="U205" s="67"/>
      <c r="V205" s="67"/>
      <c r="W205" s="67"/>
      <c r="X205" s="67"/>
      <c r="Y205" s="67"/>
      <c r="Z205" s="67"/>
      <c r="AA205" s="4"/>
      <c r="AB205" s="4"/>
      <c r="AC205" s="4"/>
      <c r="AD205" s="4"/>
    </row>
    <row r="206" spans="1:30" ht="14.25" customHeight="1">
      <c r="A206" s="768"/>
      <c r="B206" s="4"/>
      <c r="C206" s="768" t="s">
        <v>1885</v>
      </c>
      <c r="D206" s="508" t="s">
        <v>1909</v>
      </c>
      <c r="E206" s="508" t="s">
        <v>2224</v>
      </c>
      <c r="F206" s="577" t="s">
        <v>2194</v>
      </c>
      <c r="G206" s="578">
        <v>1200</v>
      </c>
      <c r="H206" s="508">
        <v>2</v>
      </c>
      <c r="I206" s="579">
        <v>2400</v>
      </c>
      <c r="J206" s="579">
        <v>93.990575486670465</v>
      </c>
      <c r="K206" s="500"/>
      <c r="L206" s="560"/>
      <c r="M206" s="572"/>
      <c r="N206" s="67"/>
      <c r="O206" s="67"/>
      <c r="P206" s="67"/>
      <c r="Q206" s="67"/>
      <c r="R206" s="67"/>
      <c r="S206" s="67"/>
      <c r="T206" s="67"/>
      <c r="U206" s="67"/>
      <c r="V206" s="67"/>
      <c r="W206" s="67"/>
      <c r="X206" s="67"/>
      <c r="Y206" s="67"/>
      <c r="Z206" s="67"/>
      <c r="AA206" s="4"/>
      <c r="AB206" s="4"/>
      <c r="AC206" s="4"/>
      <c r="AD206" s="4"/>
    </row>
    <row r="207" spans="1:30" ht="14.25" customHeight="1">
      <c r="A207" s="768"/>
      <c r="B207" s="4"/>
      <c r="C207" s="768" t="s">
        <v>1885</v>
      </c>
      <c r="D207" s="508" t="s">
        <v>1909</v>
      </c>
      <c r="E207" s="508" t="s">
        <v>2225</v>
      </c>
      <c r="F207" s="577" t="s">
        <v>2194</v>
      </c>
      <c r="G207" s="578">
        <v>3000</v>
      </c>
      <c r="H207" s="508">
        <v>1</v>
      </c>
      <c r="I207" s="579">
        <v>3000</v>
      </c>
      <c r="J207" s="579">
        <v>117.48821935833809</v>
      </c>
      <c r="K207" s="500"/>
      <c r="L207" s="560"/>
      <c r="M207" s="572"/>
      <c r="N207" s="67"/>
      <c r="O207" s="67"/>
      <c r="P207" s="67"/>
      <c r="Q207" s="67"/>
      <c r="R207" s="67"/>
      <c r="S207" s="67"/>
      <c r="T207" s="67"/>
      <c r="U207" s="67"/>
      <c r="V207" s="67"/>
      <c r="W207" s="67"/>
      <c r="X207" s="67"/>
      <c r="Y207" s="67"/>
      <c r="Z207" s="67"/>
      <c r="AA207" s="4"/>
      <c r="AB207" s="4"/>
      <c r="AC207" s="4"/>
      <c r="AD207" s="4"/>
    </row>
    <row r="208" spans="1:30" ht="14.25" customHeight="1">
      <c r="A208" s="768"/>
      <c r="B208" s="4"/>
      <c r="C208" s="768" t="s">
        <v>1885</v>
      </c>
      <c r="D208" s="508" t="s">
        <v>1909</v>
      </c>
      <c r="E208" s="582" t="s">
        <v>2226</v>
      </c>
      <c r="F208" s="577" t="s">
        <v>2194</v>
      </c>
      <c r="G208" s="578">
        <v>1000</v>
      </c>
      <c r="H208" s="508">
        <v>1</v>
      </c>
      <c r="I208" s="579">
        <v>1000</v>
      </c>
      <c r="J208" s="579">
        <v>39.162739786112695</v>
      </c>
      <c r="K208" s="500"/>
      <c r="L208" s="560"/>
      <c r="M208" s="572"/>
      <c r="N208" s="67"/>
      <c r="O208" s="67"/>
      <c r="P208" s="67"/>
      <c r="Q208" s="67"/>
      <c r="R208" s="67"/>
      <c r="S208" s="67"/>
      <c r="T208" s="67"/>
      <c r="U208" s="67"/>
      <c r="V208" s="67"/>
      <c r="W208" s="67"/>
      <c r="X208" s="67"/>
      <c r="Y208" s="67"/>
      <c r="Z208" s="67"/>
      <c r="AA208" s="4"/>
      <c r="AB208" s="4"/>
      <c r="AC208" s="4"/>
      <c r="AD208" s="4"/>
    </row>
    <row r="209" spans="1:30" ht="14.25" customHeight="1">
      <c r="A209" s="768"/>
      <c r="B209" s="4"/>
      <c r="C209" s="768" t="s">
        <v>1885</v>
      </c>
      <c r="D209" s="508" t="s">
        <v>1909</v>
      </c>
      <c r="E209" s="508" t="s">
        <v>2227</v>
      </c>
      <c r="F209" s="577" t="s">
        <v>2194</v>
      </c>
      <c r="G209" s="578">
        <v>600</v>
      </c>
      <c r="H209" s="508">
        <v>1</v>
      </c>
      <c r="I209" s="579">
        <v>600</v>
      </c>
      <c r="J209" s="579">
        <v>23.497643871667616</v>
      </c>
      <c r="K209" s="500"/>
      <c r="L209" s="560"/>
      <c r="M209" s="572"/>
      <c r="N209" s="67"/>
      <c r="O209" s="67"/>
      <c r="P209" s="67"/>
      <c r="Q209" s="67"/>
      <c r="R209" s="67"/>
      <c r="S209" s="67"/>
      <c r="T209" s="67"/>
      <c r="U209" s="67"/>
      <c r="V209" s="67"/>
      <c r="W209" s="67"/>
      <c r="X209" s="67"/>
      <c r="Y209" s="67"/>
      <c r="Z209" s="67"/>
      <c r="AA209" s="4"/>
      <c r="AB209" s="4"/>
      <c r="AC209" s="4"/>
      <c r="AD209" s="4"/>
    </row>
    <row r="210" spans="1:30" ht="14.25" customHeight="1">
      <c r="A210" s="768"/>
      <c r="B210" s="4"/>
      <c r="C210" s="768" t="s">
        <v>1885</v>
      </c>
      <c r="D210" s="508" t="s">
        <v>1392</v>
      </c>
      <c r="E210" s="508" t="s">
        <v>2228</v>
      </c>
      <c r="F210" s="577" t="s">
        <v>2194</v>
      </c>
      <c r="G210" s="578">
        <v>7000</v>
      </c>
      <c r="H210" s="508">
        <v>1</v>
      </c>
      <c r="I210" s="579">
        <v>7000</v>
      </c>
      <c r="J210" s="579">
        <v>274.13917850278887</v>
      </c>
      <c r="K210" s="500"/>
      <c r="L210" s="560"/>
      <c r="M210" s="572"/>
      <c r="N210" s="67"/>
      <c r="O210" s="67"/>
      <c r="P210" s="67"/>
      <c r="Q210" s="67"/>
      <c r="R210" s="67"/>
      <c r="S210" s="67"/>
      <c r="T210" s="67"/>
      <c r="U210" s="67"/>
      <c r="V210" s="67"/>
      <c r="W210" s="67"/>
      <c r="X210" s="67"/>
      <c r="Y210" s="67"/>
      <c r="Z210" s="67"/>
      <c r="AA210" s="4"/>
      <c r="AB210" s="4"/>
      <c r="AC210" s="4"/>
      <c r="AD210" s="4"/>
    </row>
    <row r="211" spans="1:30" ht="14.25" customHeight="1">
      <c r="A211" s="768"/>
      <c r="B211" s="4"/>
      <c r="C211" s="768" t="s">
        <v>1885</v>
      </c>
      <c r="D211" s="508" t="s">
        <v>1392</v>
      </c>
      <c r="E211" s="508" t="s">
        <v>2229</v>
      </c>
      <c r="F211" s="577" t="s">
        <v>2194</v>
      </c>
      <c r="G211" s="578">
        <v>15000</v>
      </c>
      <c r="H211" s="508">
        <v>2</v>
      </c>
      <c r="I211" s="579">
        <v>30000</v>
      </c>
      <c r="J211" s="579">
        <v>1174.882193583381</v>
      </c>
      <c r="K211" s="500"/>
      <c r="L211" s="560"/>
      <c r="M211" s="572"/>
      <c r="N211" s="67"/>
      <c r="O211" s="67"/>
      <c r="P211" s="67"/>
      <c r="Q211" s="67"/>
      <c r="R211" s="67"/>
      <c r="S211" s="67"/>
      <c r="T211" s="67"/>
      <c r="U211" s="67"/>
      <c r="V211" s="67"/>
      <c r="W211" s="67"/>
      <c r="X211" s="67"/>
      <c r="Y211" s="67"/>
      <c r="Z211" s="67"/>
      <c r="AA211" s="4"/>
      <c r="AB211" s="4"/>
      <c r="AC211" s="4"/>
      <c r="AD211" s="4"/>
    </row>
    <row r="212" spans="1:30" ht="14.25" customHeight="1">
      <c r="A212" s="768"/>
      <c r="B212" s="4"/>
      <c r="C212" s="768" t="s">
        <v>1885</v>
      </c>
      <c r="D212" s="508" t="s">
        <v>1862</v>
      </c>
      <c r="E212" s="508" t="s">
        <v>2230</v>
      </c>
      <c r="F212" s="577" t="s">
        <v>2194</v>
      </c>
      <c r="G212" s="578">
        <v>500</v>
      </c>
      <c r="H212" s="508">
        <v>2</v>
      </c>
      <c r="I212" s="579">
        <v>1000</v>
      </c>
      <c r="J212" s="579">
        <v>39.162739786112695</v>
      </c>
      <c r="K212" s="500"/>
      <c r="L212" s="560"/>
      <c r="M212" s="572"/>
      <c r="N212" s="67"/>
      <c r="O212" s="67"/>
      <c r="P212" s="67"/>
      <c r="Q212" s="67"/>
      <c r="R212" s="67"/>
      <c r="S212" s="67"/>
      <c r="T212" s="67"/>
      <c r="U212" s="67"/>
      <c r="V212" s="67"/>
      <c r="W212" s="67"/>
      <c r="X212" s="67"/>
      <c r="Y212" s="67"/>
      <c r="Z212" s="67"/>
      <c r="AA212" s="4"/>
      <c r="AB212" s="4"/>
      <c r="AC212" s="4"/>
      <c r="AD212" s="4"/>
    </row>
    <row r="213" spans="1:30" ht="14.25" customHeight="1">
      <c r="A213" s="768"/>
      <c r="B213" s="4"/>
      <c r="C213" s="768" t="s">
        <v>1885</v>
      </c>
      <c r="D213" s="508" t="s">
        <v>1862</v>
      </c>
      <c r="E213" s="508" t="s">
        <v>2231</v>
      </c>
      <c r="F213" s="577" t="s">
        <v>2194</v>
      </c>
      <c r="G213" s="578">
        <v>300</v>
      </c>
      <c r="H213" s="508">
        <v>1</v>
      </c>
      <c r="I213" s="579">
        <v>300</v>
      </c>
      <c r="J213" s="579">
        <v>11.748821935833808</v>
      </c>
      <c r="K213" s="500"/>
      <c r="L213" s="560"/>
      <c r="M213" s="572"/>
      <c r="N213" s="67"/>
      <c r="O213" s="67"/>
      <c r="P213" s="67"/>
      <c r="Q213" s="67"/>
      <c r="R213" s="67"/>
      <c r="S213" s="67"/>
      <c r="T213" s="67"/>
      <c r="U213" s="67"/>
      <c r="V213" s="67"/>
      <c r="W213" s="67"/>
      <c r="X213" s="67"/>
      <c r="Y213" s="67"/>
      <c r="Z213" s="67"/>
      <c r="AA213" s="4"/>
      <c r="AB213" s="4"/>
      <c r="AC213" s="4"/>
      <c r="AD213" s="4"/>
    </row>
    <row r="214" spans="1:30" ht="14.25" customHeight="1">
      <c r="A214" s="768"/>
      <c r="B214" s="4"/>
      <c r="C214" s="768" t="s">
        <v>1885</v>
      </c>
      <c r="D214" s="508" t="s">
        <v>1862</v>
      </c>
      <c r="E214" s="508" t="s">
        <v>2232</v>
      </c>
      <c r="F214" s="577" t="s">
        <v>2194</v>
      </c>
      <c r="G214" s="578">
        <v>500</v>
      </c>
      <c r="H214" s="508">
        <v>1</v>
      </c>
      <c r="I214" s="579">
        <v>500</v>
      </c>
      <c r="J214" s="579">
        <v>19.581369893056348</v>
      </c>
      <c r="K214" s="500"/>
      <c r="L214" s="560"/>
      <c r="M214" s="572"/>
      <c r="N214" s="67"/>
      <c r="O214" s="67"/>
      <c r="P214" s="67"/>
      <c r="Q214" s="67"/>
      <c r="R214" s="67"/>
      <c r="S214" s="67"/>
      <c r="T214" s="67"/>
      <c r="U214" s="67"/>
      <c r="V214" s="67"/>
      <c r="W214" s="67"/>
      <c r="X214" s="67"/>
      <c r="Y214" s="67"/>
      <c r="Z214" s="67"/>
      <c r="AA214" s="4"/>
      <c r="AB214" s="4"/>
      <c r="AC214" s="4"/>
      <c r="AD214" s="4"/>
    </row>
    <row r="215" spans="1:30" ht="14.25" customHeight="1">
      <c r="A215" s="768"/>
      <c r="B215" s="4"/>
      <c r="C215" s="768" t="s">
        <v>1885</v>
      </c>
      <c r="D215" s="508" t="s">
        <v>1392</v>
      </c>
      <c r="E215" s="508" t="s">
        <v>2233</v>
      </c>
      <c r="F215" s="577" t="s">
        <v>2194</v>
      </c>
      <c r="G215" s="578">
        <v>1000</v>
      </c>
      <c r="H215" s="508">
        <v>1</v>
      </c>
      <c r="I215" s="579">
        <v>1000</v>
      </c>
      <c r="J215" s="579">
        <v>39.162739786112695</v>
      </c>
      <c r="K215" s="500"/>
      <c r="L215" s="560"/>
      <c r="M215" s="572"/>
      <c r="N215" s="67"/>
      <c r="O215" s="67"/>
      <c r="P215" s="67"/>
      <c r="Q215" s="67"/>
      <c r="R215" s="67"/>
      <c r="S215" s="67"/>
      <c r="T215" s="67"/>
      <c r="U215" s="67"/>
      <c r="V215" s="67"/>
      <c r="W215" s="67"/>
      <c r="X215" s="67"/>
      <c r="Y215" s="67"/>
      <c r="Z215" s="67"/>
      <c r="AA215" s="4"/>
      <c r="AB215" s="4"/>
      <c r="AC215" s="4"/>
      <c r="AD215" s="4"/>
    </row>
    <row r="216" spans="1:30" ht="14.25" customHeight="1">
      <c r="A216" s="768"/>
      <c r="B216" s="4"/>
      <c r="C216" s="768" t="s">
        <v>1885</v>
      </c>
      <c r="D216" s="508" t="s">
        <v>1392</v>
      </c>
      <c r="E216" s="508" t="s">
        <v>2234</v>
      </c>
      <c r="F216" s="577" t="s">
        <v>2194</v>
      </c>
      <c r="G216" s="578">
        <v>1000</v>
      </c>
      <c r="H216" s="508">
        <v>1</v>
      </c>
      <c r="I216" s="579">
        <v>1000</v>
      </c>
      <c r="J216" s="579">
        <v>39.162739786112695</v>
      </c>
      <c r="K216" s="500"/>
      <c r="L216" s="560"/>
      <c r="M216" s="572"/>
      <c r="N216" s="67"/>
      <c r="O216" s="67"/>
      <c r="P216" s="67"/>
      <c r="Q216" s="67"/>
      <c r="R216" s="67"/>
      <c r="S216" s="67"/>
      <c r="T216" s="67"/>
      <c r="U216" s="67"/>
      <c r="V216" s="67"/>
      <c r="W216" s="67"/>
      <c r="X216" s="67"/>
      <c r="Y216" s="67"/>
      <c r="Z216" s="67"/>
      <c r="AA216" s="4"/>
      <c r="AB216" s="4"/>
      <c r="AC216" s="4"/>
      <c r="AD216" s="4"/>
    </row>
    <row r="217" spans="1:30" ht="14.25" customHeight="1">
      <c r="A217" s="768"/>
      <c r="B217" s="4"/>
      <c r="C217" s="768" t="s">
        <v>1885</v>
      </c>
      <c r="D217" s="508" t="s">
        <v>1862</v>
      </c>
      <c r="E217" s="582" t="s">
        <v>2235</v>
      </c>
      <c r="F217" s="577" t="s">
        <v>2194</v>
      </c>
      <c r="G217" s="578">
        <v>2500</v>
      </c>
      <c r="H217" s="508">
        <v>2</v>
      </c>
      <c r="I217" s="579">
        <v>5000</v>
      </c>
      <c r="J217" s="579">
        <v>195.81369893056348</v>
      </c>
      <c r="K217" s="500"/>
      <c r="L217" s="560"/>
      <c r="M217" s="572"/>
      <c r="N217" s="67"/>
      <c r="O217" s="67"/>
      <c r="P217" s="67"/>
      <c r="Q217" s="67"/>
      <c r="R217" s="67"/>
      <c r="S217" s="67"/>
      <c r="T217" s="67"/>
      <c r="U217" s="67"/>
      <c r="V217" s="67"/>
      <c r="W217" s="67"/>
      <c r="X217" s="67"/>
      <c r="Y217" s="67"/>
      <c r="Z217" s="67"/>
      <c r="AA217" s="4"/>
      <c r="AB217" s="4"/>
      <c r="AC217" s="4"/>
      <c r="AD217" s="4"/>
    </row>
    <row r="218" spans="1:30" ht="14.25" customHeight="1">
      <c r="A218" s="768"/>
      <c r="B218" s="4"/>
      <c r="C218" s="768" t="s">
        <v>1885</v>
      </c>
      <c r="D218" s="508" t="s">
        <v>1862</v>
      </c>
      <c r="E218" s="508" t="s">
        <v>2236</v>
      </c>
      <c r="F218" s="577" t="s">
        <v>2194</v>
      </c>
      <c r="G218" s="578">
        <v>2500</v>
      </c>
      <c r="H218" s="508">
        <v>1</v>
      </c>
      <c r="I218" s="579">
        <v>2500</v>
      </c>
      <c r="J218" s="579">
        <v>97.906849465281738</v>
      </c>
      <c r="K218" s="500"/>
      <c r="L218" s="560"/>
      <c r="M218" s="572"/>
      <c r="N218" s="67"/>
      <c r="O218" s="67"/>
      <c r="P218" s="67"/>
      <c r="Q218" s="67"/>
      <c r="R218" s="67"/>
      <c r="S218" s="67"/>
      <c r="T218" s="67"/>
      <c r="U218" s="67"/>
      <c r="V218" s="67"/>
      <c r="W218" s="67"/>
      <c r="X218" s="67"/>
      <c r="Y218" s="67"/>
      <c r="Z218" s="67"/>
      <c r="AA218" s="4"/>
      <c r="AB218" s="4"/>
      <c r="AC218" s="4"/>
      <c r="AD218" s="4"/>
    </row>
    <row r="219" spans="1:30" ht="14.25" customHeight="1">
      <c r="A219" s="768"/>
      <c r="B219" s="4"/>
      <c r="C219" s="768" t="s">
        <v>1885</v>
      </c>
      <c r="D219" s="508" t="s">
        <v>1862</v>
      </c>
      <c r="E219" s="508" t="s">
        <v>2237</v>
      </c>
      <c r="F219" s="577" t="s">
        <v>2194</v>
      </c>
      <c r="G219" s="578">
        <v>400</v>
      </c>
      <c r="H219" s="508">
        <v>6</v>
      </c>
      <c r="I219" s="579">
        <v>2400</v>
      </c>
      <c r="J219" s="579">
        <v>93.990575486670465</v>
      </c>
      <c r="K219" s="500"/>
      <c r="L219" s="560"/>
      <c r="M219" s="572"/>
      <c r="N219" s="67"/>
      <c r="O219" s="67"/>
      <c r="P219" s="67"/>
      <c r="Q219" s="67"/>
      <c r="R219" s="67"/>
      <c r="S219" s="67"/>
      <c r="T219" s="67"/>
      <c r="U219" s="67"/>
      <c r="V219" s="67"/>
      <c r="W219" s="67"/>
      <c r="X219" s="67"/>
      <c r="Y219" s="67"/>
      <c r="Z219" s="67"/>
      <c r="AA219" s="4"/>
      <c r="AB219" s="4"/>
      <c r="AC219" s="4"/>
      <c r="AD219" s="4"/>
    </row>
    <row r="220" spans="1:30" ht="14.25" customHeight="1">
      <c r="A220" s="768"/>
      <c r="B220" s="4"/>
      <c r="C220" s="768" t="s">
        <v>1885</v>
      </c>
      <c r="D220" s="508" t="s">
        <v>1862</v>
      </c>
      <c r="E220" s="508" t="s">
        <v>2238</v>
      </c>
      <c r="F220" s="577" t="s">
        <v>2194</v>
      </c>
      <c r="G220" s="578">
        <v>800</v>
      </c>
      <c r="H220" s="508">
        <v>1</v>
      </c>
      <c r="I220" s="579">
        <v>800</v>
      </c>
      <c r="J220" s="579">
        <v>31.330191828890158</v>
      </c>
      <c r="K220" s="500"/>
      <c r="L220" s="560"/>
      <c r="M220" s="572"/>
      <c r="N220" s="67"/>
      <c r="O220" s="67"/>
      <c r="P220" s="67"/>
      <c r="Q220" s="67"/>
      <c r="R220" s="67"/>
      <c r="S220" s="67"/>
      <c r="T220" s="67"/>
      <c r="U220" s="67"/>
      <c r="V220" s="67"/>
      <c r="W220" s="67"/>
      <c r="X220" s="67"/>
      <c r="Y220" s="67"/>
      <c r="Z220" s="67"/>
      <c r="AA220" s="4"/>
      <c r="AB220" s="4"/>
      <c r="AC220" s="4"/>
      <c r="AD220" s="4"/>
    </row>
    <row r="221" spans="1:30" ht="14.25" customHeight="1">
      <c r="A221" s="768"/>
      <c r="B221" s="4"/>
      <c r="C221" s="768" t="s">
        <v>1885</v>
      </c>
      <c r="D221" s="508"/>
      <c r="E221" s="580" t="s">
        <v>2239</v>
      </c>
      <c r="F221" s="577"/>
      <c r="G221" s="578"/>
      <c r="H221" s="508"/>
      <c r="I221" s="579">
        <v>0</v>
      </c>
      <c r="J221" s="579">
        <v>0</v>
      </c>
      <c r="K221" s="500"/>
      <c r="L221" s="560"/>
      <c r="M221" s="572"/>
      <c r="N221" s="67"/>
      <c r="O221" s="67"/>
      <c r="P221" s="67"/>
      <c r="Q221" s="67"/>
      <c r="R221" s="67"/>
      <c r="S221" s="67"/>
      <c r="T221" s="67"/>
      <c r="U221" s="67"/>
      <c r="V221" s="67"/>
      <c r="W221" s="67"/>
      <c r="X221" s="67"/>
      <c r="Y221" s="67"/>
      <c r="Z221" s="67"/>
      <c r="AA221" s="4"/>
      <c r="AB221" s="4"/>
      <c r="AC221" s="4"/>
      <c r="AD221" s="4"/>
    </row>
    <row r="222" spans="1:30" ht="14.25" customHeight="1">
      <c r="A222" s="768"/>
      <c r="B222" s="4"/>
      <c r="C222" s="768" t="s">
        <v>1885</v>
      </c>
      <c r="D222" s="508" t="s">
        <v>1862</v>
      </c>
      <c r="E222" s="508" t="s">
        <v>2240</v>
      </c>
      <c r="F222" s="577" t="s">
        <v>2194</v>
      </c>
      <c r="G222" s="578">
        <v>7000</v>
      </c>
      <c r="H222" s="508">
        <v>1</v>
      </c>
      <c r="I222" s="579">
        <v>7000</v>
      </c>
      <c r="J222" s="579">
        <v>274.13917850278887</v>
      </c>
      <c r="K222" s="500"/>
      <c r="L222" s="560"/>
      <c r="M222" s="572"/>
      <c r="N222" s="67"/>
      <c r="O222" s="67"/>
      <c r="P222" s="67"/>
      <c r="Q222" s="67"/>
      <c r="R222" s="67"/>
      <c r="S222" s="67"/>
      <c r="T222" s="67"/>
      <c r="U222" s="67"/>
      <c r="V222" s="67"/>
      <c r="W222" s="67"/>
      <c r="X222" s="67"/>
      <c r="Y222" s="67"/>
      <c r="Z222" s="67"/>
      <c r="AA222" s="4"/>
      <c r="AB222" s="4"/>
      <c r="AC222" s="4"/>
      <c r="AD222" s="4"/>
    </row>
    <row r="223" spans="1:30" ht="14.25" customHeight="1">
      <c r="A223" s="768"/>
      <c r="B223" s="4"/>
      <c r="C223" s="768" t="s">
        <v>1885</v>
      </c>
      <c r="D223" s="508" t="s">
        <v>1392</v>
      </c>
      <c r="E223" s="508" t="s">
        <v>2241</v>
      </c>
      <c r="F223" s="577" t="s">
        <v>2194</v>
      </c>
      <c r="G223" s="578">
        <v>9000</v>
      </c>
      <c r="H223" s="508">
        <v>1</v>
      </c>
      <c r="I223" s="579">
        <v>9000</v>
      </c>
      <c r="J223" s="579">
        <v>352.46465807501426</v>
      </c>
      <c r="K223" s="500"/>
      <c r="L223" s="560"/>
      <c r="M223" s="572"/>
      <c r="N223" s="67"/>
      <c r="O223" s="67"/>
      <c r="P223" s="67"/>
      <c r="Q223" s="67"/>
      <c r="R223" s="67"/>
      <c r="S223" s="67"/>
      <c r="T223" s="67"/>
      <c r="U223" s="67"/>
      <c r="V223" s="67"/>
      <c r="W223" s="67"/>
      <c r="X223" s="67"/>
      <c r="Y223" s="67"/>
      <c r="Z223" s="67"/>
      <c r="AA223" s="4"/>
      <c r="AB223" s="4"/>
      <c r="AC223" s="4"/>
      <c r="AD223" s="4"/>
    </row>
    <row r="224" spans="1:30" ht="14.25" customHeight="1">
      <c r="A224" s="768"/>
      <c r="B224" s="4"/>
      <c r="C224" s="768" t="s">
        <v>1885</v>
      </c>
      <c r="D224" s="508" t="s">
        <v>1862</v>
      </c>
      <c r="E224" s="508" t="s">
        <v>2242</v>
      </c>
      <c r="F224" s="577" t="s">
        <v>2194</v>
      </c>
      <c r="G224" s="578">
        <v>2000</v>
      </c>
      <c r="H224" s="508">
        <v>1</v>
      </c>
      <c r="I224" s="579">
        <v>2000</v>
      </c>
      <c r="J224" s="579">
        <v>78.32547957222539</v>
      </c>
      <c r="K224" s="500"/>
      <c r="L224" s="560"/>
      <c r="M224" s="572"/>
      <c r="N224" s="67"/>
      <c r="O224" s="67"/>
      <c r="P224" s="67"/>
      <c r="Q224" s="67"/>
      <c r="R224" s="67"/>
      <c r="S224" s="67"/>
      <c r="T224" s="67"/>
      <c r="U224" s="67"/>
      <c r="V224" s="67"/>
      <c r="W224" s="67"/>
      <c r="X224" s="67"/>
      <c r="Y224" s="67"/>
      <c r="Z224" s="67"/>
      <c r="AA224" s="4"/>
      <c r="AB224" s="4"/>
      <c r="AC224" s="4"/>
      <c r="AD224" s="4"/>
    </row>
    <row r="225" spans="1:30" ht="14.25" customHeight="1">
      <c r="A225" s="768"/>
      <c r="B225" s="4"/>
      <c r="C225" s="768" t="s">
        <v>1885</v>
      </c>
      <c r="D225" s="508" t="s">
        <v>1392</v>
      </c>
      <c r="E225" s="508" t="s">
        <v>2243</v>
      </c>
      <c r="F225" s="577" t="s">
        <v>2194</v>
      </c>
      <c r="G225" s="578">
        <v>2000</v>
      </c>
      <c r="H225" s="508">
        <v>1</v>
      </c>
      <c r="I225" s="579">
        <v>2000</v>
      </c>
      <c r="J225" s="579">
        <v>78.32547957222539</v>
      </c>
      <c r="K225" s="500"/>
      <c r="L225" s="560"/>
      <c r="M225" s="572"/>
      <c r="N225" s="67"/>
      <c r="O225" s="67"/>
      <c r="P225" s="67"/>
      <c r="Q225" s="67"/>
      <c r="R225" s="67"/>
      <c r="S225" s="67"/>
      <c r="T225" s="67"/>
      <c r="U225" s="67"/>
      <c r="V225" s="67"/>
      <c r="W225" s="67"/>
      <c r="X225" s="67"/>
      <c r="Y225" s="67"/>
      <c r="Z225" s="67"/>
      <c r="AA225" s="4"/>
      <c r="AB225" s="4"/>
      <c r="AC225" s="4"/>
      <c r="AD225" s="4"/>
    </row>
    <row r="226" spans="1:30" ht="14.25" customHeight="1">
      <c r="A226" s="768"/>
      <c r="B226" s="4"/>
      <c r="C226" s="768" t="s">
        <v>1885</v>
      </c>
      <c r="D226" s="508" t="s">
        <v>1862</v>
      </c>
      <c r="E226" s="508" t="s">
        <v>2244</v>
      </c>
      <c r="F226" s="577" t="s">
        <v>2194</v>
      </c>
      <c r="G226" s="578">
        <v>2500</v>
      </c>
      <c r="H226" s="508">
        <v>1</v>
      </c>
      <c r="I226" s="579">
        <v>2500</v>
      </c>
      <c r="J226" s="579">
        <v>97.906849465281738</v>
      </c>
      <c r="K226" s="500"/>
      <c r="L226" s="560"/>
      <c r="M226" s="572"/>
      <c r="N226" s="67"/>
      <c r="O226" s="67"/>
      <c r="P226" s="67"/>
      <c r="Q226" s="67"/>
      <c r="R226" s="67"/>
      <c r="S226" s="67"/>
      <c r="T226" s="67"/>
      <c r="U226" s="67"/>
      <c r="V226" s="67"/>
      <c r="W226" s="67"/>
      <c r="X226" s="67"/>
      <c r="Y226" s="67"/>
      <c r="Z226" s="67"/>
      <c r="AA226" s="4"/>
      <c r="AB226" s="4"/>
      <c r="AC226" s="4"/>
      <c r="AD226" s="4"/>
    </row>
    <row r="227" spans="1:30" ht="14.25" customHeight="1">
      <c r="A227" s="768"/>
      <c r="B227" s="4"/>
      <c r="C227" s="768" t="s">
        <v>1885</v>
      </c>
      <c r="D227" s="508" t="s">
        <v>1862</v>
      </c>
      <c r="E227" s="508" t="s">
        <v>2205</v>
      </c>
      <c r="F227" s="577" t="s">
        <v>2194</v>
      </c>
      <c r="G227" s="578">
        <v>500</v>
      </c>
      <c r="H227" s="508">
        <v>8</v>
      </c>
      <c r="I227" s="579">
        <v>4000</v>
      </c>
      <c r="J227" s="579">
        <v>156.65095914445078</v>
      </c>
      <c r="K227" s="500"/>
      <c r="L227" s="560"/>
      <c r="M227" s="572"/>
      <c r="N227" s="67"/>
      <c r="O227" s="67"/>
      <c r="P227" s="67"/>
      <c r="Q227" s="67"/>
      <c r="R227" s="67"/>
      <c r="S227" s="67"/>
      <c r="T227" s="67"/>
      <c r="U227" s="67"/>
      <c r="V227" s="67"/>
      <c r="W227" s="67"/>
      <c r="X227" s="67"/>
      <c r="Y227" s="67"/>
      <c r="Z227" s="67"/>
      <c r="AA227" s="4"/>
      <c r="AB227" s="4"/>
      <c r="AC227" s="4"/>
      <c r="AD227" s="4"/>
    </row>
    <row r="228" spans="1:30" ht="14.25" customHeight="1">
      <c r="A228" s="768"/>
      <c r="B228" s="4"/>
      <c r="C228" s="768" t="s">
        <v>1885</v>
      </c>
      <c r="D228" s="508" t="s">
        <v>1862</v>
      </c>
      <c r="E228" s="508" t="s">
        <v>2245</v>
      </c>
      <c r="F228" s="577" t="s">
        <v>2194</v>
      </c>
      <c r="G228" s="578">
        <v>1500</v>
      </c>
      <c r="H228" s="508">
        <v>1</v>
      </c>
      <c r="I228" s="579">
        <v>1500</v>
      </c>
      <c r="J228" s="579">
        <v>58.744109679169043</v>
      </c>
      <c r="K228" s="500"/>
      <c r="L228" s="560"/>
      <c r="M228" s="572"/>
      <c r="N228" s="67"/>
      <c r="O228" s="67"/>
      <c r="P228" s="67"/>
      <c r="Q228" s="67"/>
      <c r="R228" s="67"/>
      <c r="S228" s="67"/>
      <c r="T228" s="67"/>
      <c r="U228" s="67"/>
      <c r="V228" s="67"/>
      <c r="W228" s="67"/>
      <c r="X228" s="67"/>
      <c r="Y228" s="67"/>
      <c r="Z228" s="67"/>
      <c r="AA228" s="4"/>
      <c r="AB228" s="4"/>
      <c r="AC228" s="4"/>
      <c r="AD228" s="4"/>
    </row>
    <row r="229" spans="1:30" ht="14.25" customHeight="1">
      <c r="A229" s="768"/>
      <c r="B229" s="4"/>
      <c r="C229" s="768" t="s">
        <v>1885</v>
      </c>
      <c r="D229" s="508" t="s">
        <v>1862</v>
      </c>
      <c r="E229" s="508" t="s">
        <v>2246</v>
      </c>
      <c r="F229" s="577" t="s">
        <v>2194</v>
      </c>
      <c r="G229" s="578">
        <v>6000</v>
      </c>
      <c r="H229" s="508">
        <v>3</v>
      </c>
      <c r="I229" s="579">
        <v>18000</v>
      </c>
      <c r="J229" s="579">
        <v>704.92931615002851</v>
      </c>
      <c r="K229" s="500"/>
      <c r="L229" s="560"/>
      <c r="M229" s="572"/>
      <c r="N229" s="67"/>
      <c r="O229" s="67"/>
      <c r="P229" s="67"/>
      <c r="Q229" s="67"/>
      <c r="R229" s="67"/>
      <c r="S229" s="67"/>
      <c r="T229" s="67"/>
      <c r="U229" s="67"/>
      <c r="V229" s="67"/>
      <c r="W229" s="67"/>
      <c r="X229" s="67"/>
      <c r="Y229" s="67"/>
      <c r="Z229" s="67"/>
      <c r="AA229" s="4"/>
      <c r="AB229" s="4"/>
      <c r="AC229" s="4"/>
      <c r="AD229" s="4"/>
    </row>
    <row r="230" spans="1:30" ht="14.25" customHeight="1">
      <c r="A230" s="768"/>
      <c r="B230" s="4"/>
      <c r="C230" s="768" t="s">
        <v>1885</v>
      </c>
      <c r="D230" s="508"/>
      <c r="E230" s="580" t="s">
        <v>2247</v>
      </c>
      <c r="F230" s="577"/>
      <c r="G230" s="578"/>
      <c r="H230" s="508"/>
      <c r="I230" s="579">
        <v>0</v>
      </c>
      <c r="J230" s="579">
        <v>0</v>
      </c>
      <c r="K230" s="500"/>
      <c r="L230" s="560"/>
      <c r="M230" s="572"/>
      <c r="N230" s="67"/>
      <c r="O230" s="67"/>
      <c r="P230" s="67"/>
      <c r="Q230" s="67"/>
      <c r="R230" s="67"/>
      <c r="S230" s="67"/>
      <c r="T230" s="67"/>
      <c r="U230" s="67"/>
      <c r="V230" s="67"/>
      <c r="W230" s="67"/>
      <c r="X230" s="67"/>
      <c r="Y230" s="67"/>
      <c r="Z230" s="67"/>
      <c r="AA230" s="4"/>
      <c r="AB230" s="4"/>
      <c r="AC230" s="4"/>
      <c r="AD230" s="4"/>
    </row>
    <row r="231" spans="1:30" ht="14.25" customHeight="1">
      <c r="A231" s="768"/>
      <c r="B231" s="4"/>
      <c r="C231" s="768" t="s">
        <v>1885</v>
      </c>
      <c r="D231" s="508" t="s">
        <v>1862</v>
      </c>
      <c r="E231" s="508" t="s">
        <v>2248</v>
      </c>
      <c r="F231" s="577" t="s">
        <v>2194</v>
      </c>
      <c r="G231" s="578">
        <v>1200</v>
      </c>
      <c r="H231" s="508">
        <v>8</v>
      </c>
      <c r="I231" s="579">
        <v>9600</v>
      </c>
      <c r="J231" s="579">
        <v>375.96230194668186</v>
      </c>
      <c r="K231" s="500"/>
      <c r="L231" s="560"/>
      <c r="M231" s="572"/>
      <c r="N231" s="67"/>
      <c r="O231" s="67"/>
      <c r="P231" s="67"/>
      <c r="Q231" s="67"/>
      <c r="R231" s="67"/>
      <c r="S231" s="67"/>
      <c r="T231" s="67"/>
      <c r="U231" s="67"/>
      <c r="V231" s="67"/>
      <c r="W231" s="67"/>
      <c r="X231" s="67"/>
      <c r="Y231" s="67"/>
      <c r="Z231" s="67"/>
      <c r="AA231" s="4"/>
      <c r="AB231" s="4"/>
      <c r="AC231" s="4"/>
      <c r="AD231" s="4"/>
    </row>
    <row r="232" spans="1:30" ht="14.25" customHeight="1">
      <c r="A232" s="768"/>
      <c r="B232" s="4"/>
      <c r="C232" s="768" t="s">
        <v>1885</v>
      </c>
      <c r="D232" s="508" t="s">
        <v>1862</v>
      </c>
      <c r="E232" s="508" t="s">
        <v>2249</v>
      </c>
      <c r="F232" s="577" t="s">
        <v>2194</v>
      </c>
      <c r="G232" s="578">
        <v>400</v>
      </c>
      <c r="H232" s="508">
        <v>8</v>
      </c>
      <c r="I232" s="579">
        <v>3200</v>
      </c>
      <c r="J232" s="579">
        <v>125.32076731556063</v>
      </c>
      <c r="K232" s="500"/>
      <c r="L232" s="560"/>
      <c r="M232" s="572"/>
      <c r="N232" s="67"/>
      <c r="O232" s="67"/>
      <c r="P232" s="67"/>
      <c r="Q232" s="67"/>
      <c r="R232" s="67"/>
      <c r="S232" s="67"/>
      <c r="T232" s="67"/>
      <c r="U232" s="67"/>
      <c r="V232" s="67"/>
      <c r="W232" s="67"/>
      <c r="X232" s="67"/>
      <c r="Y232" s="67"/>
      <c r="Z232" s="67"/>
      <c r="AA232" s="4"/>
      <c r="AB232" s="4"/>
      <c r="AC232" s="4"/>
      <c r="AD232" s="4"/>
    </row>
    <row r="233" spans="1:30" ht="14.25" customHeight="1">
      <c r="A233" s="768"/>
      <c r="B233" s="4"/>
      <c r="C233" s="768" t="s">
        <v>1885</v>
      </c>
      <c r="D233" s="508" t="s">
        <v>1862</v>
      </c>
      <c r="E233" s="508" t="s">
        <v>2250</v>
      </c>
      <c r="F233" s="577" t="s">
        <v>2194</v>
      </c>
      <c r="G233" s="578">
        <v>1500</v>
      </c>
      <c r="H233" s="508">
        <v>8</v>
      </c>
      <c r="I233" s="579">
        <v>12000</v>
      </c>
      <c r="J233" s="579">
        <v>469.95287743335234</v>
      </c>
      <c r="K233" s="500"/>
      <c r="L233" s="560"/>
      <c r="M233" s="572"/>
      <c r="N233" s="67"/>
      <c r="O233" s="67"/>
      <c r="P233" s="67"/>
      <c r="Q233" s="67"/>
      <c r="R233" s="67"/>
      <c r="S233" s="67"/>
      <c r="T233" s="67"/>
      <c r="U233" s="67"/>
      <c r="V233" s="67"/>
      <c r="W233" s="67"/>
      <c r="X233" s="67"/>
      <c r="Y233" s="67"/>
      <c r="Z233" s="67"/>
      <c r="AA233" s="4"/>
      <c r="AB233" s="4"/>
      <c r="AC233" s="4"/>
      <c r="AD233" s="4"/>
    </row>
    <row r="234" spans="1:30" ht="14.25" customHeight="1">
      <c r="A234" s="768"/>
      <c r="B234" s="4"/>
      <c r="C234" s="768" t="s">
        <v>1885</v>
      </c>
      <c r="D234" s="508" t="s">
        <v>1862</v>
      </c>
      <c r="E234" s="508" t="s">
        <v>2251</v>
      </c>
      <c r="F234" s="577" t="s">
        <v>2194</v>
      </c>
      <c r="G234" s="578">
        <v>500</v>
      </c>
      <c r="H234" s="508">
        <v>8</v>
      </c>
      <c r="I234" s="579">
        <v>4000</v>
      </c>
      <c r="J234" s="579">
        <v>156.65095914445078</v>
      </c>
      <c r="K234" s="500"/>
      <c r="L234" s="560"/>
      <c r="M234" s="572"/>
      <c r="N234" s="67"/>
      <c r="O234" s="67"/>
      <c r="P234" s="67"/>
      <c r="Q234" s="67"/>
      <c r="R234" s="67"/>
      <c r="S234" s="67"/>
      <c r="T234" s="67"/>
      <c r="U234" s="67"/>
      <c r="V234" s="67"/>
      <c r="W234" s="67"/>
      <c r="X234" s="67"/>
      <c r="Y234" s="67"/>
      <c r="Z234" s="67"/>
      <c r="AA234" s="4"/>
      <c r="AB234" s="4"/>
      <c r="AC234" s="4"/>
      <c r="AD234" s="4"/>
    </row>
    <row r="235" spans="1:30" ht="14.25" customHeight="1">
      <c r="A235" s="768"/>
      <c r="B235" s="4"/>
      <c r="C235" s="768" t="s">
        <v>1885</v>
      </c>
      <c r="D235" s="508" t="s">
        <v>1862</v>
      </c>
      <c r="E235" s="508" t="s">
        <v>2252</v>
      </c>
      <c r="F235" s="577" t="s">
        <v>2213</v>
      </c>
      <c r="G235" s="578">
        <v>1600</v>
      </c>
      <c r="H235" s="508">
        <v>8</v>
      </c>
      <c r="I235" s="579">
        <v>12800</v>
      </c>
      <c r="J235" s="579">
        <v>501.28306926224252</v>
      </c>
      <c r="K235" s="500"/>
      <c r="L235" s="560"/>
      <c r="M235" s="572"/>
      <c r="N235" s="67"/>
      <c r="O235" s="67"/>
      <c r="P235" s="67"/>
      <c r="Q235" s="67"/>
      <c r="R235" s="67"/>
      <c r="S235" s="67"/>
      <c r="T235" s="67"/>
      <c r="U235" s="67"/>
      <c r="V235" s="67"/>
      <c r="W235" s="67"/>
      <c r="X235" s="67"/>
      <c r="Y235" s="67"/>
      <c r="Z235" s="67"/>
      <c r="AA235" s="4"/>
      <c r="AB235" s="4"/>
      <c r="AC235" s="4"/>
      <c r="AD235" s="4"/>
    </row>
    <row r="236" spans="1:30" ht="14.25" customHeight="1">
      <c r="A236" s="768"/>
      <c r="B236" s="4"/>
      <c r="C236" s="768" t="s">
        <v>1885</v>
      </c>
      <c r="D236" s="508" t="s">
        <v>1862</v>
      </c>
      <c r="E236" s="508" t="s">
        <v>2253</v>
      </c>
      <c r="F236" s="577" t="s">
        <v>2213</v>
      </c>
      <c r="G236" s="578">
        <v>1000</v>
      </c>
      <c r="H236" s="508">
        <v>8</v>
      </c>
      <c r="I236" s="579">
        <v>8000</v>
      </c>
      <c r="J236" s="579">
        <v>313.30191828890156</v>
      </c>
      <c r="K236" s="500"/>
      <c r="L236" s="560"/>
      <c r="M236" s="572"/>
      <c r="N236" s="67"/>
      <c r="O236" s="67"/>
      <c r="P236" s="67"/>
      <c r="Q236" s="67"/>
      <c r="R236" s="67"/>
      <c r="S236" s="67"/>
      <c r="T236" s="67"/>
      <c r="U236" s="67"/>
      <c r="V236" s="67"/>
      <c r="W236" s="67"/>
      <c r="X236" s="67"/>
      <c r="Y236" s="67"/>
      <c r="Z236" s="67"/>
      <c r="AA236" s="4"/>
      <c r="AB236" s="4"/>
      <c r="AC236" s="4"/>
      <c r="AD236" s="4"/>
    </row>
    <row r="237" spans="1:30" ht="14.25" customHeight="1">
      <c r="A237" s="768"/>
      <c r="B237" s="4"/>
      <c r="C237" s="768" t="s">
        <v>1885</v>
      </c>
      <c r="D237" s="508" t="s">
        <v>1862</v>
      </c>
      <c r="E237" s="582" t="s">
        <v>2254</v>
      </c>
      <c r="F237" s="577" t="s">
        <v>2213</v>
      </c>
      <c r="G237" s="578">
        <v>200</v>
      </c>
      <c r="H237" s="508">
        <v>8</v>
      </c>
      <c r="I237" s="579">
        <v>1600</v>
      </c>
      <c r="J237" s="579">
        <v>62.660383657780315</v>
      </c>
      <c r="K237" s="500"/>
      <c r="L237" s="560"/>
      <c r="M237" s="572"/>
      <c r="N237" s="67"/>
      <c r="O237" s="67"/>
      <c r="P237" s="67"/>
      <c r="Q237" s="67"/>
      <c r="R237" s="67"/>
      <c r="S237" s="67"/>
      <c r="T237" s="67"/>
      <c r="U237" s="67"/>
      <c r="V237" s="67"/>
      <c r="W237" s="67"/>
      <c r="X237" s="67"/>
      <c r="Y237" s="67"/>
      <c r="Z237" s="67"/>
      <c r="AA237" s="4"/>
      <c r="AB237" s="4"/>
      <c r="AC237" s="4"/>
      <c r="AD237" s="4"/>
    </row>
    <row r="238" spans="1:30" ht="14.25" customHeight="1">
      <c r="A238" s="768"/>
      <c r="B238" s="4"/>
      <c r="C238" s="768" t="s">
        <v>1885</v>
      </c>
      <c r="D238" s="508" t="s">
        <v>1862</v>
      </c>
      <c r="E238" s="508" t="s">
        <v>2255</v>
      </c>
      <c r="F238" s="577"/>
      <c r="G238" s="578"/>
      <c r="H238" s="508"/>
      <c r="I238" s="579">
        <v>0</v>
      </c>
      <c r="J238" s="579">
        <v>0</v>
      </c>
      <c r="K238" s="500"/>
      <c r="L238" s="560"/>
      <c r="M238" s="572"/>
      <c r="N238" s="67"/>
      <c r="O238" s="67"/>
      <c r="P238" s="67"/>
      <c r="Q238" s="67"/>
      <c r="R238" s="67"/>
      <c r="S238" s="67"/>
      <c r="T238" s="67"/>
      <c r="U238" s="67"/>
      <c r="V238" s="67"/>
      <c r="W238" s="67"/>
      <c r="X238" s="67"/>
      <c r="Y238" s="67"/>
      <c r="Z238" s="67"/>
      <c r="AA238" s="4"/>
      <c r="AB238" s="4"/>
      <c r="AC238" s="4"/>
      <c r="AD238" s="4"/>
    </row>
    <row r="239" spans="1:30" ht="14.25" customHeight="1">
      <c r="A239" s="768"/>
      <c r="B239" s="4"/>
      <c r="C239" s="768" t="s">
        <v>1885</v>
      </c>
      <c r="D239" s="508" t="s">
        <v>1862</v>
      </c>
      <c r="E239" s="582" t="s">
        <v>2256</v>
      </c>
      <c r="F239" s="577" t="s">
        <v>2213</v>
      </c>
      <c r="G239" s="578">
        <v>100</v>
      </c>
      <c r="H239" s="508">
        <v>8</v>
      </c>
      <c r="I239" s="579">
        <v>800</v>
      </c>
      <c r="J239" s="579">
        <v>31.330191828890158</v>
      </c>
      <c r="K239" s="500"/>
      <c r="L239" s="560"/>
      <c r="M239" s="572"/>
      <c r="N239" s="67"/>
      <c r="O239" s="67"/>
      <c r="P239" s="67"/>
      <c r="Q239" s="67"/>
      <c r="R239" s="67"/>
      <c r="S239" s="67"/>
      <c r="T239" s="67"/>
      <c r="U239" s="67"/>
      <c r="V239" s="67"/>
      <c r="W239" s="67"/>
      <c r="X239" s="67"/>
      <c r="Y239" s="67"/>
      <c r="Z239" s="67"/>
      <c r="AA239" s="4"/>
      <c r="AB239" s="4"/>
      <c r="AC239" s="4"/>
      <c r="AD239" s="4"/>
    </row>
    <row r="240" spans="1:30" ht="14.25" customHeight="1">
      <c r="A240" s="768"/>
      <c r="B240" s="4"/>
      <c r="C240" s="768" t="s">
        <v>1885</v>
      </c>
      <c r="D240" s="508"/>
      <c r="E240" s="580" t="s">
        <v>2257</v>
      </c>
      <c r="F240" s="577"/>
      <c r="G240" s="578"/>
      <c r="H240" s="508"/>
      <c r="I240" s="579">
        <v>0</v>
      </c>
      <c r="J240" s="579">
        <v>0</v>
      </c>
      <c r="K240" s="500"/>
      <c r="L240" s="560"/>
      <c r="M240" s="572"/>
      <c r="N240" s="67"/>
      <c r="O240" s="67"/>
      <c r="P240" s="67"/>
      <c r="Q240" s="67"/>
      <c r="R240" s="67"/>
      <c r="S240" s="67"/>
      <c r="T240" s="67"/>
      <c r="U240" s="67"/>
      <c r="V240" s="67"/>
      <c r="W240" s="67"/>
      <c r="X240" s="67"/>
      <c r="Y240" s="67"/>
      <c r="Z240" s="67"/>
      <c r="AA240" s="4"/>
      <c r="AB240" s="4"/>
      <c r="AC240" s="4"/>
      <c r="AD240" s="4"/>
    </row>
    <row r="241" spans="1:30" ht="14.25" customHeight="1">
      <c r="A241" s="768"/>
      <c r="B241" s="4"/>
      <c r="C241" s="768" t="s">
        <v>1885</v>
      </c>
      <c r="D241" s="508" t="s">
        <v>1862</v>
      </c>
      <c r="E241" s="508" t="s">
        <v>2258</v>
      </c>
      <c r="F241" s="577" t="s">
        <v>2194</v>
      </c>
      <c r="G241" s="578">
        <v>3000</v>
      </c>
      <c r="H241" s="508">
        <v>8</v>
      </c>
      <c r="I241" s="579">
        <v>24000</v>
      </c>
      <c r="J241" s="579">
        <v>939.90575486670468</v>
      </c>
      <c r="K241" s="500"/>
      <c r="L241" s="560"/>
      <c r="M241" s="572"/>
      <c r="N241" s="67"/>
      <c r="O241" s="67"/>
      <c r="P241" s="67"/>
      <c r="Q241" s="67"/>
      <c r="R241" s="67"/>
      <c r="S241" s="67"/>
      <c r="T241" s="67"/>
      <c r="U241" s="67"/>
      <c r="V241" s="67"/>
      <c r="W241" s="67"/>
      <c r="X241" s="67"/>
      <c r="Y241" s="67"/>
      <c r="Z241" s="67"/>
      <c r="AA241" s="4"/>
      <c r="AB241" s="4"/>
      <c r="AC241" s="4"/>
      <c r="AD241" s="4"/>
    </row>
    <row r="242" spans="1:30" ht="14.25" customHeight="1">
      <c r="A242" s="768"/>
      <c r="B242" s="4"/>
      <c r="C242" s="768" t="s">
        <v>1885</v>
      </c>
      <c r="D242" s="508" t="s">
        <v>1862</v>
      </c>
      <c r="E242" s="508" t="s">
        <v>2205</v>
      </c>
      <c r="F242" s="577" t="s">
        <v>2194</v>
      </c>
      <c r="G242" s="578">
        <v>2000</v>
      </c>
      <c r="H242" s="508">
        <v>8</v>
      </c>
      <c r="I242" s="579">
        <v>16000</v>
      </c>
      <c r="J242" s="579">
        <v>626.60383657780312</v>
      </c>
      <c r="K242" s="500"/>
      <c r="L242" s="560"/>
      <c r="M242" s="572"/>
      <c r="N242" s="67"/>
      <c r="O242" s="67"/>
      <c r="P242" s="67"/>
      <c r="Q242" s="67"/>
      <c r="R242" s="67"/>
      <c r="S242" s="67"/>
      <c r="T242" s="67"/>
      <c r="U242" s="67"/>
      <c r="V242" s="67"/>
      <c r="W242" s="67"/>
      <c r="X242" s="67"/>
      <c r="Y242" s="67"/>
      <c r="Z242" s="67"/>
      <c r="AA242" s="4"/>
      <c r="AB242" s="4"/>
      <c r="AC242" s="4"/>
      <c r="AD242" s="4"/>
    </row>
    <row r="243" spans="1:30" ht="14.25" customHeight="1">
      <c r="A243" s="768"/>
      <c r="B243" s="4"/>
      <c r="C243" s="768" t="s">
        <v>1885</v>
      </c>
      <c r="D243" s="508" t="s">
        <v>1862</v>
      </c>
      <c r="E243" s="508" t="s">
        <v>2259</v>
      </c>
      <c r="F243" s="577" t="s">
        <v>2194</v>
      </c>
      <c r="G243" s="578">
        <v>2500</v>
      </c>
      <c r="H243" s="508">
        <v>2</v>
      </c>
      <c r="I243" s="579">
        <v>5000</v>
      </c>
      <c r="J243" s="579">
        <v>195.81369893056348</v>
      </c>
      <c r="K243" s="500"/>
      <c r="L243" s="560"/>
      <c r="M243" s="572"/>
      <c r="N243" s="67"/>
      <c r="O243" s="67"/>
      <c r="P243" s="67"/>
      <c r="Q243" s="67"/>
      <c r="R243" s="67"/>
      <c r="S243" s="67"/>
      <c r="T243" s="67"/>
      <c r="U243" s="67"/>
      <c r="V243" s="67"/>
      <c r="W243" s="67"/>
      <c r="X243" s="67"/>
      <c r="Y243" s="67"/>
      <c r="Z243" s="67"/>
      <c r="AA243" s="4"/>
      <c r="AB243" s="4"/>
      <c r="AC243" s="4"/>
      <c r="AD243" s="4"/>
    </row>
    <row r="244" spans="1:30" ht="14.25" customHeight="1">
      <c r="A244" s="768"/>
      <c r="B244" s="4"/>
      <c r="C244" s="768" t="s">
        <v>1885</v>
      </c>
      <c r="D244" s="508" t="s">
        <v>1862</v>
      </c>
      <c r="E244" s="508" t="s">
        <v>2260</v>
      </c>
      <c r="F244" s="577" t="s">
        <v>2194</v>
      </c>
      <c r="G244" s="578">
        <v>4500</v>
      </c>
      <c r="H244" s="508">
        <v>1</v>
      </c>
      <c r="I244" s="579">
        <v>4500</v>
      </c>
      <c r="J244" s="579">
        <v>176.23232903750713</v>
      </c>
      <c r="K244" s="500"/>
      <c r="L244" s="560"/>
      <c r="M244" s="572"/>
      <c r="N244" s="67"/>
      <c r="O244" s="67"/>
      <c r="P244" s="67"/>
      <c r="Q244" s="67"/>
      <c r="R244" s="67"/>
      <c r="S244" s="67"/>
      <c r="T244" s="67"/>
      <c r="U244" s="67"/>
      <c r="V244" s="67"/>
      <c r="W244" s="67"/>
      <c r="X244" s="67"/>
      <c r="Y244" s="67"/>
      <c r="Z244" s="67"/>
      <c r="AA244" s="4"/>
      <c r="AB244" s="4"/>
      <c r="AC244" s="4"/>
      <c r="AD244" s="4"/>
    </row>
    <row r="245" spans="1:30" ht="14.25" customHeight="1">
      <c r="A245" s="768"/>
      <c r="B245" s="4"/>
      <c r="C245" s="768" t="s">
        <v>1885</v>
      </c>
      <c r="D245" s="508" t="s">
        <v>1862</v>
      </c>
      <c r="E245" s="508" t="s">
        <v>2261</v>
      </c>
      <c r="F245" s="577" t="s">
        <v>2194</v>
      </c>
      <c r="G245" s="578">
        <v>4000</v>
      </c>
      <c r="H245" s="508">
        <v>1</v>
      </c>
      <c r="I245" s="579">
        <v>4000</v>
      </c>
      <c r="J245" s="579">
        <v>156.65095914445078</v>
      </c>
      <c r="K245" s="500"/>
      <c r="L245" s="560"/>
      <c r="M245" s="572"/>
      <c r="N245" s="67"/>
      <c r="O245" s="67"/>
      <c r="P245" s="67"/>
      <c r="Q245" s="67"/>
      <c r="R245" s="67"/>
      <c r="S245" s="67"/>
      <c r="T245" s="67"/>
      <c r="U245" s="67"/>
      <c r="V245" s="67"/>
      <c r="W245" s="67"/>
      <c r="X245" s="67"/>
      <c r="Y245" s="67"/>
      <c r="Z245" s="67"/>
      <c r="AA245" s="4"/>
      <c r="AB245" s="4"/>
      <c r="AC245" s="4"/>
      <c r="AD245" s="4"/>
    </row>
    <row r="246" spans="1:30" ht="14.25" customHeight="1">
      <c r="A246" s="768"/>
      <c r="B246" s="4"/>
      <c r="C246" s="768" t="s">
        <v>1885</v>
      </c>
      <c r="D246" s="508" t="s">
        <v>1392</v>
      </c>
      <c r="E246" s="508" t="s">
        <v>2262</v>
      </c>
      <c r="F246" s="577" t="s">
        <v>2194</v>
      </c>
      <c r="G246" s="578">
        <v>1000</v>
      </c>
      <c r="H246" s="508">
        <v>1</v>
      </c>
      <c r="I246" s="579">
        <v>1000</v>
      </c>
      <c r="J246" s="579">
        <v>39.162739786112695</v>
      </c>
      <c r="K246" s="500"/>
      <c r="L246" s="560"/>
      <c r="M246" s="572"/>
      <c r="N246" s="67"/>
      <c r="O246" s="67"/>
      <c r="P246" s="67"/>
      <c r="Q246" s="67"/>
      <c r="R246" s="67"/>
      <c r="S246" s="67"/>
      <c r="T246" s="67"/>
      <c r="U246" s="67"/>
      <c r="V246" s="67"/>
      <c r="W246" s="67"/>
      <c r="X246" s="67"/>
      <c r="Y246" s="67"/>
      <c r="Z246" s="67"/>
      <c r="AA246" s="4"/>
      <c r="AB246" s="4"/>
      <c r="AC246" s="4"/>
      <c r="AD246" s="4"/>
    </row>
    <row r="247" spans="1:30" ht="14.25" customHeight="1">
      <c r="A247" s="768"/>
      <c r="B247" s="4"/>
      <c r="C247" s="768" t="s">
        <v>1885</v>
      </c>
      <c r="D247" s="508" t="s">
        <v>1392</v>
      </c>
      <c r="E247" s="582" t="s">
        <v>2263</v>
      </c>
      <c r="F247" s="577" t="s">
        <v>2194</v>
      </c>
      <c r="G247" s="578">
        <v>6500</v>
      </c>
      <c r="H247" s="508">
        <v>1</v>
      </c>
      <c r="I247" s="579">
        <v>6500</v>
      </c>
      <c r="J247" s="579">
        <v>254.55780860973252</v>
      </c>
      <c r="K247" s="500"/>
      <c r="L247" s="560"/>
      <c r="M247" s="572"/>
      <c r="N247" s="67"/>
      <c r="O247" s="67"/>
      <c r="P247" s="67"/>
      <c r="Q247" s="67"/>
      <c r="R247" s="67"/>
      <c r="S247" s="67"/>
      <c r="T247" s="67"/>
      <c r="U247" s="67"/>
      <c r="V247" s="67"/>
      <c r="W247" s="67"/>
      <c r="X247" s="67"/>
      <c r="Y247" s="67"/>
      <c r="Z247" s="67"/>
      <c r="AA247" s="4"/>
      <c r="AB247" s="4"/>
      <c r="AC247" s="4"/>
      <c r="AD247" s="4"/>
    </row>
    <row r="248" spans="1:30" ht="14.25" customHeight="1">
      <c r="A248" s="768"/>
      <c r="B248" s="4"/>
      <c r="C248" s="768" t="s">
        <v>1885</v>
      </c>
      <c r="D248" s="508" t="s">
        <v>1392</v>
      </c>
      <c r="E248" s="508" t="s">
        <v>2264</v>
      </c>
      <c r="F248" s="577" t="s">
        <v>2194</v>
      </c>
      <c r="G248" s="578">
        <v>20000</v>
      </c>
      <c r="H248" s="508">
        <v>8</v>
      </c>
      <c r="I248" s="579">
        <v>160000</v>
      </c>
      <c r="J248" s="579">
        <v>6266.0383657780312</v>
      </c>
      <c r="K248" s="500"/>
      <c r="L248" s="560"/>
      <c r="M248" s="572"/>
      <c r="N248" s="67"/>
      <c r="O248" s="67"/>
      <c r="P248" s="67"/>
      <c r="Q248" s="67"/>
      <c r="R248" s="67"/>
      <c r="S248" s="67"/>
      <c r="T248" s="67"/>
      <c r="U248" s="67"/>
      <c r="V248" s="67"/>
      <c r="W248" s="67"/>
      <c r="X248" s="67"/>
      <c r="Y248" s="67"/>
      <c r="Z248" s="67"/>
      <c r="AA248" s="4"/>
      <c r="AB248" s="4"/>
      <c r="AC248" s="4"/>
      <c r="AD248" s="4"/>
    </row>
    <row r="249" spans="1:30" ht="14.25" customHeight="1">
      <c r="A249" s="768"/>
      <c r="B249" s="4"/>
      <c r="C249" s="768" t="s">
        <v>1885</v>
      </c>
      <c r="D249" s="508" t="s">
        <v>1392</v>
      </c>
      <c r="E249" s="508" t="s">
        <v>2265</v>
      </c>
      <c r="F249" s="577" t="s">
        <v>2194</v>
      </c>
      <c r="G249" s="578">
        <v>10000</v>
      </c>
      <c r="H249" s="508">
        <v>1</v>
      </c>
      <c r="I249" s="579">
        <v>10000</v>
      </c>
      <c r="J249" s="579">
        <v>391.62739786112695</v>
      </c>
      <c r="K249" s="500"/>
      <c r="L249" s="560"/>
      <c r="M249" s="572"/>
      <c r="N249" s="67"/>
      <c r="O249" s="67"/>
      <c r="P249" s="67"/>
      <c r="Q249" s="67"/>
      <c r="R249" s="67"/>
      <c r="S249" s="67"/>
      <c r="T249" s="67"/>
      <c r="U249" s="67"/>
      <c r="V249" s="67"/>
      <c r="W249" s="67"/>
      <c r="X249" s="67"/>
      <c r="Y249" s="67"/>
      <c r="Z249" s="67"/>
      <c r="AA249" s="4"/>
      <c r="AB249" s="4"/>
      <c r="AC249" s="4"/>
      <c r="AD249" s="4"/>
    </row>
    <row r="250" spans="1:30" ht="14.25" customHeight="1">
      <c r="A250" s="768"/>
      <c r="B250" s="4"/>
      <c r="C250" s="768" t="s">
        <v>1885</v>
      </c>
      <c r="D250" s="508"/>
      <c r="E250" s="580" t="s">
        <v>2266</v>
      </c>
      <c r="F250" s="577"/>
      <c r="G250" s="578"/>
      <c r="H250" s="508"/>
      <c r="I250" s="579">
        <v>0</v>
      </c>
      <c r="J250" s="579">
        <v>0</v>
      </c>
      <c r="K250" s="500"/>
      <c r="L250" s="560"/>
      <c r="M250" s="572"/>
      <c r="N250" s="67"/>
      <c r="O250" s="67"/>
      <c r="P250" s="67"/>
      <c r="Q250" s="67"/>
      <c r="R250" s="67"/>
      <c r="S250" s="67"/>
      <c r="T250" s="67"/>
      <c r="U250" s="67"/>
      <c r="V250" s="67"/>
      <c r="W250" s="67"/>
      <c r="X250" s="67"/>
      <c r="Y250" s="67"/>
      <c r="Z250" s="67"/>
      <c r="AA250" s="4"/>
      <c r="AB250" s="4"/>
      <c r="AC250" s="4"/>
      <c r="AD250" s="4"/>
    </row>
    <row r="251" spans="1:30" ht="14.25" customHeight="1">
      <c r="A251" s="768"/>
      <c r="B251" s="4"/>
      <c r="C251" s="768" t="s">
        <v>1885</v>
      </c>
      <c r="D251" s="508" t="s">
        <v>1862</v>
      </c>
      <c r="E251" s="508" t="s">
        <v>2267</v>
      </c>
      <c r="F251" s="577" t="s">
        <v>2194</v>
      </c>
      <c r="G251" s="578">
        <v>2500</v>
      </c>
      <c r="H251" s="508">
        <v>2</v>
      </c>
      <c r="I251" s="579">
        <v>5000</v>
      </c>
      <c r="J251" s="579">
        <v>195.81369893056348</v>
      </c>
      <c r="K251" s="500"/>
      <c r="L251" s="560"/>
      <c r="M251" s="572"/>
      <c r="N251" s="67"/>
      <c r="O251" s="67"/>
      <c r="P251" s="67"/>
      <c r="Q251" s="67"/>
      <c r="R251" s="67"/>
      <c r="S251" s="67"/>
      <c r="T251" s="67"/>
      <c r="U251" s="67"/>
      <c r="V251" s="67"/>
      <c r="W251" s="67"/>
      <c r="X251" s="67"/>
      <c r="Y251" s="67"/>
      <c r="Z251" s="67"/>
      <c r="AA251" s="4"/>
      <c r="AB251" s="4"/>
      <c r="AC251" s="4"/>
      <c r="AD251" s="4"/>
    </row>
    <row r="252" spans="1:30" ht="14.25" customHeight="1">
      <c r="A252" s="768"/>
      <c r="B252" s="4"/>
      <c r="C252" s="768" t="s">
        <v>1885</v>
      </c>
      <c r="D252" s="508" t="s">
        <v>1862</v>
      </c>
      <c r="E252" s="508" t="s">
        <v>2205</v>
      </c>
      <c r="F252" s="577" t="s">
        <v>2194</v>
      </c>
      <c r="G252" s="578">
        <v>2000</v>
      </c>
      <c r="H252" s="508">
        <v>4</v>
      </c>
      <c r="I252" s="579">
        <v>8000</v>
      </c>
      <c r="J252" s="579">
        <v>313.30191828890156</v>
      </c>
      <c r="K252" s="500"/>
      <c r="L252" s="560"/>
      <c r="M252" s="572"/>
      <c r="N252" s="67"/>
      <c r="O252" s="67"/>
      <c r="P252" s="67"/>
      <c r="Q252" s="67"/>
      <c r="R252" s="67"/>
      <c r="S252" s="67"/>
      <c r="T252" s="67"/>
      <c r="U252" s="67"/>
      <c r="V252" s="67"/>
      <c r="W252" s="67"/>
      <c r="X252" s="67"/>
      <c r="Y252" s="67"/>
      <c r="Z252" s="67"/>
      <c r="AA252" s="4"/>
      <c r="AB252" s="4"/>
      <c r="AC252" s="4"/>
      <c r="AD252" s="4"/>
    </row>
    <row r="253" spans="1:30" ht="14.25" customHeight="1">
      <c r="A253" s="768"/>
      <c r="B253" s="4"/>
      <c r="C253" s="768" t="s">
        <v>1885</v>
      </c>
      <c r="D253" s="508" t="s">
        <v>1862</v>
      </c>
      <c r="E253" s="508" t="s">
        <v>2268</v>
      </c>
      <c r="F253" s="577" t="s">
        <v>2194</v>
      </c>
      <c r="G253" s="578">
        <v>2500</v>
      </c>
      <c r="H253" s="508">
        <v>1</v>
      </c>
      <c r="I253" s="579">
        <v>2500</v>
      </c>
      <c r="J253" s="579">
        <v>97.906849465281738</v>
      </c>
      <c r="K253" s="500"/>
      <c r="L253" s="560"/>
      <c r="M253" s="572"/>
      <c r="N253" s="67"/>
      <c r="O253" s="67"/>
      <c r="P253" s="67"/>
      <c r="Q253" s="67"/>
      <c r="R253" s="67"/>
      <c r="S253" s="67"/>
      <c r="T253" s="67"/>
      <c r="U253" s="67"/>
      <c r="V253" s="67"/>
      <c r="W253" s="67"/>
      <c r="X253" s="67"/>
      <c r="Y253" s="67"/>
      <c r="Z253" s="67"/>
      <c r="AA253" s="4"/>
      <c r="AB253" s="4"/>
      <c r="AC253" s="4"/>
      <c r="AD253" s="4"/>
    </row>
    <row r="254" spans="1:30" ht="14.25" customHeight="1">
      <c r="A254" s="768"/>
      <c r="B254" s="4"/>
      <c r="C254" s="768" t="s">
        <v>1885</v>
      </c>
      <c r="D254" s="508" t="s">
        <v>1862</v>
      </c>
      <c r="E254" s="508" t="s">
        <v>2269</v>
      </c>
      <c r="F254" s="577" t="s">
        <v>2194</v>
      </c>
      <c r="G254" s="578">
        <v>6500</v>
      </c>
      <c r="H254" s="508">
        <v>1</v>
      </c>
      <c r="I254" s="579">
        <v>6500</v>
      </c>
      <c r="J254" s="579">
        <v>254.55780860973252</v>
      </c>
      <c r="K254" s="500"/>
      <c r="L254" s="560"/>
      <c r="M254" s="572"/>
      <c r="N254" s="67"/>
      <c r="O254" s="67"/>
      <c r="P254" s="67"/>
      <c r="Q254" s="67"/>
      <c r="R254" s="67"/>
      <c r="S254" s="67"/>
      <c r="T254" s="67"/>
      <c r="U254" s="67"/>
      <c r="V254" s="67"/>
      <c r="W254" s="67"/>
      <c r="X254" s="67"/>
      <c r="Y254" s="67"/>
      <c r="Z254" s="67"/>
      <c r="AA254" s="4"/>
      <c r="AB254" s="4"/>
      <c r="AC254" s="4"/>
      <c r="AD254" s="4"/>
    </row>
    <row r="255" spans="1:30" ht="14.25" customHeight="1">
      <c r="A255" s="768"/>
      <c r="B255" s="4"/>
      <c r="C255" s="768" t="s">
        <v>1885</v>
      </c>
      <c r="D255" s="508" t="s">
        <v>1862</v>
      </c>
      <c r="E255" s="508" t="s">
        <v>2270</v>
      </c>
      <c r="F255" s="577" t="s">
        <v>2194</v>
      </c>
      <c r="G255" s="578">
        <v>3000</v>
      </c>
      <c r="H255" s="508">
        <v>1</v>
      </c>
      <c r="I255" s="579">
        <v>3000</v>
      </c>
      <c r="J255" s="579">
        <v>117.48821935833809</v>
      </c>
      <c r="K255" s="500"/>
      <c r="L255" s="560"/>
      <c r="M255" s="572"/>
      <c r="N255" s="67"/>
      <c r="O255" s="67"/>
      <c r="P255" s="67"/>
      <c r="Q255" s="67"/>
      <c r="R255" s="67"/>
      <c r="S255" s="67"/>
      <c r="T255" s="67"/>
      <c r="U255" s="67"/>
      <c r="V255" s="67"/>
      <c r="W255" s="67"/>
      <c r="X255" s="67"/>
      <c r="Y255" s="67"/>
      <c r="Z255" s="67"/>
      <c r="AA255" s="4"/>
      <c r="AB255" s="4"/>
      <c r="AC255" s="4"/>
      <c r="AD255" s="4"/>
    </row>
    <row r="256" spans="1:30" ht="14.25" customHeight="1">
      <c r="A256" s="768"/>
      <c r="B256" s="4"/>
      <c r="C256" s="768" t="s">
        <v>1885</v>
      </c>
      <c r="D256" s="508" t="s">
        <v>1392</v>
      </c>
      <c r="E256" s="582" t="s">
        <v>2263</v>
      </c>
      <c r="F256" s="577" t="s">
        <v>2194</v>
      </c>
      <c r="G256" s="578">
        <v>6500</v>
      </c>
      <c r="H256" s="508">
        <v>1</v>
      </c>
      <c r="I256" s="579">
        <v>6500</v>
      </c>
      <c r="J256" s="579">
        <v>254.55780860973252</v>
      </c>
      <c r="K256" s="500"/>
      <c r="L256" s="560"/>
      <c r="M256" s="572"/>
      <c r="N256" s="67"/>
      <c r="O256" s="67"/>
      <c r="P256" s="67"/>
      <c r="Q256" s="67"/>
      <c r="R256" s="67"/>
      <c r="S256" s="67"/>
      <c r="T256" s="67"/>
      <c r="U256" s="67"/>
      <c r="V256" s="67"/>
      <c r="W256" s="67"/>
      <c r="X256" s="67"/>
      <c r="Y256" s="67"/>
      <c r="Z256" s="67"/>
      <c r="AA256" s="4"/>
      <c r="AB256" s="4"/>
      <c r="AC256" s="4"/>
      <c r="AD256" s="4"/>
    </row>
    <row r="257" spans="1:30" ht="14.25" customHeight="1">
      <c r="A257" s="768"/>
      <c r="B257" s="4"/>
      <c r="C257" s="768" t="s">
        <v>1885</v>
      </c>
      <c r="D257" s="508" t="s">
        <v>1392</v>
      </c>
      <c r="E257" s="508" t="s">
        <v>2271</v>
      </c>
      <c r="F257" s="577" t="s">
        <v>2194</v>
      </c>
      <c r="G257" s="578">
        <v>25000</v>
      </c>
      <c r="H257" s="508">
        <v>2</v>
      </c>
      <c r="I257" s="579">
        <v>50000</v>
      </c>
      <c r="J257" s="579">
        <v>1958.1369893056349</v>
      </c>
      <c r="K257" s="500"/>
      <c r="L257" s="560"/>
      <c r="M257" s="572"/>
      <c r="N257" s="67"/>
      <c r="O257" s="67"/>
      <c r="P257" s="67"/>
      <c r="Q257" s="67"/>
      <c r="R257" s="67"/>
      <c r="S257" s="67"/>
      <c r="T257" s="67"/>
      <c r="U257" s="67"/>
      <c r="V257" s="67"/>
      <c r="W257" s="67"/>
      <c r="X257" s="67"/>
      <c r="Y257" s="67"/>
      <c r="Z257" s="67"/>
      <c r="AA257" s="4"/>
      <c r="AB257" s="4"/>
      <c r="AC257" s="4"/>
      <c r="AD257" s="4"/>
    </row>
    <row r="258" spans="1:30" ht="14.25" customHeight="1">
      <c r="A258" s="768"/>
      <c r="B258" s="4"/>
      <c r="C258" s="768" t="s">
        <v>1885</v>
      </c>
      <c r="D258" s="508" t="s">
        <v>1862</v>
      </c>
      <c r="E258" s="508" t="s">
        <v>2272</v>
      </c>
      <c r="F258" s="577" t="s">
        <v>2194</v>
      </c>
      <c r="G258" s="578">
        <v>1500</v>
      </c>
      <c r="H258" s="508">
        <v>1</v>
      </c>
      <c r="I258" s="579">
        <v>1500</v>
      </c>
      <c r="J258" s="579">
        <v>58.744109679169043</v>
      </c>
      <c r="K258" s="500"/>
      <c r="L258" s="560"/>
      <c r="M258" s="572"/>
      <c r="N258" s="67"/>
      <c r="O258" s="67"/>
      <c r="P258" s="67"/>
      <c r="Q258" s="67"/>
      <c r="R258" s="67"/>
      <c r="S258" s="67"/>
      <c r="T258" s="67"/>
      <c r="U258" s="67"/>
      <c r="V258" s="67"/>
      <c r="W258" s="67"/>
      <c r="X258" s="67"/>
      <c r="Y258" s="67"/>
      <c r="Z258" s="67"/>
      <c r="AA258" s="4"/>
      <c r="AB258" s="4"/>
      <c r="AC258" s="4"/>
      <c r="AD258" s="4"/>
    </row>
    <row r="259" spans="1:30" ht="14.25" customHeight="1">
      <c r="A259" s="768"/>
      <c r="B259" s="4"/>
      <c r="C259" s="768" t="s">
        <v>1885</v>
      </c>
      <c r="D259" s="560"/>
      <c r="E259" s="583"/>
      <c r="F259" s="560"/>
      <c r="G259" s="560"/>
      <c r="H259" s="560"/>
      <c r="I259" s="560"/>
      <c r="J259" s="560"/>
      <c r="K259" s="560"/>
      <c r="L259" s="560"/>
      <c r="M259" s="572"/>
      <c r="N259" s="67"/>
      <c r="O259" s="67"/>
      <c r="P259" s="67"/>
      <c r="Q259" s="67"/>
      <c r="R259" s="67"/>
      <c r="S259" s="67"/>
      <c r="T259" s="67"/>
      <c r="U259" s="67"/>
      <c r="V259" s="67"/>
      <c r="W259" s="67"/>
      <c r="X259" s="67"/>
      <c r="Y259" s="67"/>
      <c r="Z259" s="67"/>
      <c r="AA259" s="4"/>
      <c r="AB259" s="4"/>
      <c r="AC259" s="4"/>
      <c r="AD259" s="4"/>
    </row>
    <row r="260" spans="1:30" ht="14.25" customHeight="1">
      <c r="A260" s="768"/>
      <c r="B260" s="4"/>
      <c r="C260" s="768" t="s">
        <v>1885</v>
      </c>
      <c r="D260" s="560"/>
      <c r="E260" s="583"/>
      <c r="F260" s="560"/>
      <c r="G260" s="560"/>
      <c r="H260" s="560"/>
      <c r="I260" s="560"/>
      <c r="J260" s="560"/>
      <c r="K260" s="560"/>
      <c r="L260" s="560"/>
      <c r="M260" s="572"/>
      <c r="N260" s="67"/>
      <c r="O260" s="67"/>
      <c r="P260" s="67"/>
      <c r="Q260" s="67"/>
      <c r="R260" s="67"/>
      <c r="S260" s="67"/>
      <c r="T260" s="67"/>
      <c r="U260" s="67"/>
      <c r="V260" s="67"/>
      <c r="W260" s="67"/>
      <c r="X260" s="67"/>
      <c r="Y260" s="67"/>
      <c r="Z260" s="67"/>
      <c r="AA260" s="4"/>
      <c r="AB260" s="4"/>
      <c r="AC260" s="4"/>
      <c r="AD260" s="4"/>
    </row>
    <row r="261" spans="1:30" ht="14.25" customHeight="1">
      <c r="A261" s="768"/>
      <c r="B261" s="4"/>
      <c r="C261" s="768" t="s">
        <v>1885</v>
      </c>
      <c r="D261" s="573" t="s">
        <v>2273</v>
      </c>
      <c r="E261" s="584" t="s">
        <v>2075</v>
      </c>
      <c r="F261" s="575" t="s">
        <v>2185</v>
      </c>
      <c r="G261" s="576" t="s">
        <v>2186</v>
      </c>
      <c r="H261" s="576" t="s">
        <v>2187</v>
      </c>
      <c r="I261" s="576" t="s">
        <v>2188</v>
      </c>
      <c r="J261" s="576" t="s">
        <v>2189</v>
      </c>
      <c r="K261" s="560"/>
      <c r="L261" s="560"/>
      <c r="M261" s="572"/>
      <c r="N261" s="67"/>
      <c r="O261" s="67"/>
      <c r="P261" s="67"/>
      <c r="Q261" s="67"/>
      <c r="R261" s="67"/>
      <c r="S261" s="67"/>
      <c r="T261" s="67"/>
      <c r="U261" s="67"/>
      <c r="V261" s="67"/>
      <c r="W261" s="67"/>
      <c r="X261" s="67"/>
      <c r="Y261" s="67"/>
      <c r="Z261" s="67"/>
      <c r="AA261" s="4"/>
      <c r="AB261" s="4"/>
      <c r="AC261" s="4"/>
      <c r="AD261" s="4"/>
    </row>
    <row r="262" spans="1:30" ht="14.25" customHeight="1">
      <c r="A262" s="768"/>
      <c r="B262" s="4"/>
      <c r="C262" s="768" t="s">
        <v>1885</v>
      </c>
      <c r="D262" s="508" t="s">
        <v>1903</v>
      </c>
      <c r="E262" s="508" t="s">
        <v>2190</v>
      </c>
      <c r="F262" s="577" t="s">
        <v>2191</v>
      </c>
      <c r="G262" s="578">
        <v>7660.3424999999997</v>
      </c>
      <c r="H262" s="508">
        <v>100</v>
      </c>
      <c r="I262" s="579">
        <v>766034.25</v>
      </c>
      <c r="J262" s="579">
        <v>30000</v>
      </c>
      <c r="K262" s="500"/>
      <c r="L262" s="560"/>
      <c r="M262" s="572"/>
      <c r="N262" s="67"/>
      <c r="O262" s="67"/>
      <c r="P262" s="67"/>
      <c r="Q262" s="67"/>
      <c r="R262" s="67"/>
      <c r="S262" s="67"/>
      <c r="T262" s="67"/>
      <c r="U262" s="67"/>
      <c r="V262" s="67"/>
      <c r="W262" s="67"/>
      <c r="X262" s="67"/>
      <c r="Y262" s="67"/>
      <c r="Z262" s="67"/>
      <c r="AA262" s="4"/>
      <c r="AB262" s="4"/>
      <c r="AC262" s="4"/>
      <c r="AD262" s="4"/>
    </row>
    <row r="263" spans="1:30" ht="14.25" customHeight="1">
      <c r="A263" s="768"/>
      <c r="B263" s="4"/>
      <c r="C263" s="768" t="s">
        <v>1885</v>
      </c>
      <c r="D263" s="508"/>
      <c r="E263" s="580" t="s">
        <v>2192</v>
      </c>
      <c r="F263" s="581"/>
      <c r="G263" s="508"/>
      <c r="H263" s="508"/>
      <c r="I263" s="579">
        <v>0</v>
      </c>
      <c r="J263" s="579">
        <v>0</v>
      </c>
      <c r="K263" s="500"/>
      <c r="L263" s="560"/>
      <c r="M263" s="572"/>
      <c r="N263" s="67"/>
      <c r="O263" s="67"/>
      <c r="P263" s="67"/>
      <c r="Q263" s="67"/>
      <c r="R263" s="67"/>
      <c r="S263" s="67"/>
      <c r="T263" s="67"/>
      <c r="U263" s="67"/>
      <c r="V263" s="67"/>
      <c r="W263" s="67"/>
      <c r="X263" s="67"/>
      <c r="Y263" s="67"/>
      <c r="Z263" s="67"/>
      <c r="AA263" s="4"/>
      <c r="AB263" s="4"/>
      <c r="AC263" s="4"/>
      <c r="AD263" s="4"/>
    </row>
    <row r="264" spans="1:30" ht="14.25" customHeight="1">
      <c r="A264" s="768"/>
      <c r="B264" s="4"/>
      <c r="C264" s="768" t="s">
        <v>1885</v>
      </c>
      <c r="D264" s="508" t="s">
        <v>1862</v>
      </c>
      <c r="E264" s="508" t="s">
        <v>2193</v>
      </c>
      <c r="F264" s="577" t="s">
        <v>2194</v>
      </c>
      <c r="G264" s="508">
        <v>2000</v>
      </c>
      <c r="H264" s="508">
        <v>4</v>
      </c>
      <c r="I264" s="579">
        <v>8000</v>
      </c>
      <c r="J264" s="579">
        <v>313.30191828890156</v>
      </c>
      <c r="K264" s="500"/>
      <c r="L264" s="560"/>
      <c r="M264" s="572"/>
      <c r="N264" s="67"/>
      <c r="O264" s="67"/>
      <c r="P264" s="67"/>
      <c r="Q264" s="67"/>
      <c r="R264" s="67"/>
      <c r="S264" s="67"/>
      <c r="T264" s="67"/>
      <c r="U264" s="67"/>
      <c r="V264" s="67"/>
      <c r="W264" s="67"/>
      <c r="X264" s="67"/>
      <c r="Y264" s="67"/>
      <c r="Z264" s="67"/>
      <c r="AA264" s="4"/>
      <c r="AB264" s="4"/>
      <c r="AC264" s="4"/>
      <c r="AD264" s="4"/>
    </row>
    <row r="265" spans="1:30" ht="14.25" customHeight="1">
      <c r="A265" s="768"/>
      <c r="B265" s="4"/>
      <c r="C265" s="768" t="s">
        <v>1885</v>
      </c>
      <c r="D265" s="508" t="s">
        <v>1862</v>
      </c>
      <c r="E265" s="508" t="s">
        <v>2195</v>
      </c>
      <c r="F265" s="577" t="s">
        <v>2194</v>
      </c>
      <c r="G265" s="508">
        <v>2500</v>
      </c>
      <c r="H265" s="508">
        <v>4</v>
      </c>
      <c r="I265" s="579">
        <v>10000</v>
      </c>
      <c r="J265" s="579">
        <v>391.62739786112695</v>
      </c>
      <c r="K265" s="500"/>
      <c r="L265" s="560"/>
      <c r="M265" s="572"/>
      <c r="N265" s="67"/>
      <c r="O265" s="67"/>
      <c r="P265" s="67"/>
      <c r="Q265" s="67"/>
      <c r="R265" s="67"/>
      <c r="S265" s="67"/>
      <c r="T265" s="67"/>
      <c r="U265" s="67"/>
      <c r="V265" s="67"/>
      <c r="W265" s="67"/>
      <c r="X265" s="67"/>
      <c r="Y265" s="67"/>
      <c r="Z265" s="67"/>
      <c r="AA265" s="4"/>
      <c r="AB265" s="4"/>
      <c r="AC265" s="4"/>
      <c r="AD265" s="4"/>
    </row>
    <row r="266" spans="1:30" ht="14.25" customHeight="1">
      <c r="A266" s="768"/>
      <c r="B266" s="4"/>
      <c r="C266" s="768" t="s">
        <v>1885</v>
      </c>
      <c r="D266" s="508" t="s">
        <v>1862</v>
      </c>
      <c r="E266" s="508" t="s">
        <v>2196</v>
      </c>
      <c r="F266" s="577" t="s">
        <v>2194</v>
      </c>
      <c r="G266" s="508">
        <v>600</v>
      </c>
      <c r="H266" s="508">
        <v>4</v>
      </c>
      <c r="I266" s="579">
        <v>2400</v>
      </c>
      <c r="J266" s="579">
        <v>93.990575486670465</v>
      </c>
      <c r="K266" s="500"/>
      <c r="L266" s="560"/>
      <c r="M266" s="572"/>
      <c r="N266" s="67"/>
      <c r="O266" s="67"/>
      <c r="P266" s="67"/>
      <c r="Q266" s="67"/>
      <c r="R266" s="67"/>
      <c r="S266" s="67"/>
      <c r="T266" s="67"/>
      <c r="U266" s="67"/>
      <c r="V266" s="67"/>
      <c r="W266" s="67"/>
      <c r="X266" s="67"/>
      <c r="Y266" s="67"/>
      <c r="Z266" s="67"/>
      <c r="AA266" s="4"/>
      <c r="AB266" s="4"/>
      <c r="AC266" s="4"/>
      <c r="AD266" s="4"/>
    </row>
    <row r="267" spans="1:30" ht="14.25" customHeight="1">
      <c r="A267" s="768"/>
      <c r="B267" s="4"/>
      <c r="C267" s="768" t="s">
        <v>1885</v>
      </c>
      <c r="D267" s="508" t="s">
        <v>1862</v>
      </c>
      <c r="E267" s="508" t="s">
        <v>2197</v>
      </c>
      <c r="F267" s="577" t="s">
        <v>2194</v>
      </c>
      <c r="G267" s="508">
        <v>300</v>
      </c>
      <c r="H267" s="508">
        <v>4</v>
      </c>
      <c r="I267" s="579">
        <v>1200</v>
      </c>
      <c r="J267" s="579">
        <v>46.995287743335233</v>
      </c>
      <c r="K267" s="500"/>
      <c r="L267" s="560"/>
      <c r="M267" s="572"/>
      <c r="N267" s="67"/>
      <c r="O267" s="67"/>
      <c r="P267" s="67"/>
      <c r="Q267" s="67"/>
      <c r="R267" s="67"/>
      <c r="S267" s="67"/>
      <c r="T267" s="67"/>
      <c r="U267" s="67"/>
      <c r="V267" s="67"/>
      <c r="W267" s="67"/>
      <c r="X267" s="67"/>
      <c r="Y267" s="67"/>
      <c r="Z267" s="67"/>
      <c r="AA267" s="4"/>
      <c r="AB267" s="4"/>
      <c r="AC267" s="4"/>
      <c r="AD267" s="4"/>
    </row>
    <row r="268" spans="1:30" ht="14.25" customHeight="1">
      <c r="A268" s="768"/>
      <c r="B268" s="4"/>
      <c r="C268" s="768" t="s">
        <v>1885</v>
      </c>
      <c r="D268" s="508" t="s">
        <v>1862</v>
      </c>
      <c r="E268" s="508" t="s">
        <v>2198</v>
      </c>
      <c r="F268" s="577" t="s">
        <v>2194</v>
      </c>
      <c r="G268" s="508">
        <v>3500</v>
      </c>
      <c r="H268" s="508">
        <v>1</v>
      </c>
      <c r="I268" s="579">
        <v>3500</v>
      </c>
      <c r="J268" s="579">
        <v>137.06958925139443</v>
      </c>
      <c r="K268" s="500"/>
      <c r="L268" s="560"/>
      <c r="M268" s="572"/>
      <c r="N268" s="67"/>
      <c r="O268" s="67"/>
      <c r="P268" s="67"/>
      <c r="Q268" s="67"/>
      <c r="R268" s="67"/>
      <c r="S268" s="67"/>
      <c r="T268" s="67"/>
      <c r="U268" s="67"/>
      <c r="V268" s="67"/>
      <c r="W268" s="67"/>
      <c r="X268" s="67"/>
      <c r="Y268" s="67"/>
      <c r="Z268" s="67"/>
      <c r="AA268" s="4"/>
      <c r="AB268" s="4"/>
      <c r="AC268" s="4"/>
      <c r="AD268" s="4"/>
    </row>
    <row r="269" spans="1:30" ht="14.25" customHeight="1">
      <c r="A269" s="768"/>
      <c r="B269" s="4"/>
      <c r="C269" s="768" t="s">
        <v>1885</v>
      </c>
      <c r="D269" s="508" t="s">
        <v>1862</v>
      </c>
      <c r="E269" s="508" t="s">
        <v>2199</v>
      </c>
      <c r="F269" s="577" t="s">
        <v>2194</v>
      </c>
      <c r="G269" s="508">
        <v>2500</v>
      </c>
      <c r="H269" s="508">
        <v>1</v>
      </c>
      <c r="I269" s="579">
        <v>2500</v>
      </c>
      <c r="J269" s="579">
        <v>97.906849465281738</v>
      </c>
      <c r="K269" s="500"/>
      <c r="L269" s="560"/>
      <c r="M269" s="572"/>
      <c r="N269" s="67"/>
      <c r="O269" s="67"/>
      <c r="P269" s="67"/>
      <c r="Q269" s="67"/>
      <c r="R269" s="67"/>
      <c r="S269" s="67"/>
      <c r="T269" s="67"/>
      <c r="U269" s="67"/>
      <c r="V269" s="67"/>
      <c r="W269" s="67"/>
      <c r="X269" s="67"/>
      <c r="Y269" s="67"/>
      <c r="Z269" s="67"/>
      <c r="AA269" s="4"/>
      <c r="AB269" s="4"/>
      <c r="AC269" s="4"/>
      <c r="AD269" s="4"/>
    </row>
    <row r="270" spans="1:30" ht="14.25" customHeight="1">
      <c r="A270" s="768"/>
      <c r="B270" s="4"/>
      <c r="C270" s="768" t="s">
        <v>1885</v>
      </c>
      <c r="D270" s="508" t="s">
        <v>1862</v>
      </c>
      <c r="E270" s="508" t="s">
        <v>2200</v>
      </c>
      <c r="F270" s="577" t="s">
        <v>2194</v>
      </c>
      <c r="G270" s="508">
        <v>700</v>
      </c>
      <c r="H270" s="508">
        <v>4</v>
      </c>
      <c r="I270" s="579">
        <v>2800</v>
      </c>
      <c r="J270" s="579">
        <v>109.65567140111555</v>
      </c>
      <c r="K270" s="500"/>
      <c r="L270" s="560"/>
      <c r="M270" s="572"/>
      <c r="N270" s="67"/>
      <c r="O270" s="67"/>
      <c r="P270" s="67"/>
      <c r="Q270" s="67"/>
      <c r="R270" s="67"/>
      <c r="S270" s="67"/>
      <c r="T270" s="67"/>
      <c r="U270" s="67"/>
      <c r="V270" s="67"/>
      <c r="W270" s="67"/>
      <c r="X270" s="67"/>
      <c r="Y270" s="67"/>
      <c r="Z270" s="67"/>
      <c r="AA270" s="4"/>
      <c r="AB270" s="4"/>
      <c r="AC270" s="4"/>
      <c r="AD270" s="4"/>
    </row>
    <row r="271" spans="1:30" ht="14.25" customHeight="1">
      <c r="A271" s="768"/>
      <c r="B271" s="4"/>
      <c r="C271" s="768" t="s">
        <v>1885</v>
      </c>
      <c r="D271" s="508"/>
      <c r="E271" s="580" t="s">
        <v>2201</v>
      </c>
      <c r="F271" s="581"/>
      <c r="G271" s="508"/>
      <c r="H271" s="508"/>
      <c r="I271" s="579">
        <v>0</v>
      </c>
      <c r="J271" s="579">
        <v>0</v>
      </c>
      <c r="K271" s="500"/>
      <c r="L271" s="560"/>
      <c r="M271" s="572"/>
      <c r="N271" s="67"/>
      <c r="O271" s="67"/>
      <c r="P271" s="67"/>
      <c r="Q271" s="67"/>
      <c r="R271" s="67"/>
      <c r="S271" s="67"/>
      <c r="T271" s="67"/>
      <c r="U271" s="67"/>
      <c r="V271" s="67"/>
      <c r="W271" s="67"/>
      <c r="X271" s="67"/>
      <c r="Y271" s="67"/>
      <c r="Z271" s="67"/>
      <c r="AA271" s="4"/>
      <c r="AB271" s="4"/>
      <c r="AC271" s="4"/>
      <c r="AD271" s="4"/>
    </row>
    <row r="272" spans="1:30" ht="14.25" customHeight="1">
      <c r="A272" s="768"/>
      <c r="B272" s="4"/>
      <c r="C272" s="768" t="s">
        <v>1885</v>
      </c>
      <c r="D272" s="508" t="s">
        <v>1862</v>
      </c>
      <c r="E272" s="508" t="s">
        <v>2202</v>
      </c>
      <c r="F272" s="577" t="s">
        <v>2194</v>
      </c>
      <c r="G272" s="508">
        <v>2500</v>
      </c>
      <c r="H272" s="508">
        <v>1</v>
      </c>
      <c r="I272" s="579">
        <v>2500</v>
      </c>
      <c r="J272" s="579">
        <v>97.906849465281738</v>
      </c>
      <c r="K272" s="500"/>
      <c r="L272" s="560"/>
      <c r="M272" s="572"/>
      <c r="N272" s="67"/>
      <c r="O272" s="67"/>
      <c r="P272" s="67"/>
      <c r="Q272" s="67"/>
      <c r="R272" s="67"/>
      <c r="S272" s="67"/>
      <c r="T272" s="67"/>
      <c r="U272" s="67"/>
      <c r="V272" s="67"/>
      <c r="W272" s="67"/>
      <c r="X272" s="67"/>
      <c r="Y272" s="67"/>
      <c r="Z272" s="67"/>
      <c r="AA272" s="4"/>
      <c r="AB272" s="4"/>
      <c r="AC272" s="4"/>
      <c r="AD272" s="4"/>
    </row>
    <row r="273" spans="1:30" ht="14.25" customHeight="1">
      <c r="A273" s="768"/>
      <c r="B273" s="4"/>
      <c r="C273" s="768" t="s">
        <v>1885</v>
      </c>
      <c r="D273" s="508" t="s">
        <v>1862</v>
      </c>
      <c r="E273" s="508" t="s">
        <v>2274</v>
      </c>
      <c r="F273" s="577" t="s">
        <v>2194</v>
      </c>
      <c r="G273" s="508">
        <v>3500</v>
      </c>
      <c r="H273" s="508">
        <v>1</v>
      </c>
      <c r="I273" s="579">
        <v>3500</v>
      </c>
      <c r="J273" s="579">
        <v>137.06958925139443</v>
      </c>
      <c r="K273" s="500"/>
      <c r="L273" s="560"/>
      <c r="M273" s="572"/>
      <c r="N273" s="67"/>
      <c r="O273" s="67"/>
      <c r="P273" s="67"/>
      <c r="Q273" s="67"/>
      <c r="R273" s="67"/>
      <c r="S273" s="67"/>
      <c r="T273" s="67"/>
      <c r="U273" s="67"/>
      <c r="V273" s="67"/>
      <c r="W273" s="67"/>
      <c r="X273" s="67"/>
      <c r="Y273" s="67"/>
      <c r="Z273" s="67"/>
      <c r="AA273" s="4"/>
      <c r="AB273" s="4"/>
      <c r="AC273" s="4"/>
      <c r="AD273" s="4"/>
    </row>
    <row r="274" spans="1:30" ht="14.25" customHeight="1">
      <c r="A274" s="768"/>
      <c r="B274" s="4"/>
      <c r="C274" s="768" t="s">
        <v>1885</v>
      </c>
      <c r="D274" s="508" t="s">
        <v>1862</v>
      </c>
      <c r="E274" s="508" t="s">
        <v>2204</v>
      </c>
      <c r="F274" s="577" t="s">
        <v>2194</v>
      </c>
      <c r="G274" s="508">
        <v>2000</v>
      </c>
      <c r="H274" s="508">
        <v>1</v>
      </c>
      <c r="I274" s="579">
        <v>2000</v>
      </c>
      <c r="J274" s="579">
        <v>78.32547957222539</v>
      </c>
      <c r="K274" s="500"/>
      <c r="L274" s="560"/>
      <c r="M274" s="572"/>
      <c r="N274" s="67"/>
      <c r="O274" s="67"/>
      <c r="P274" s="67"/>
      <c r="Q274" s="67"/>
      <c r="R274" s="67"/>
      <c r="S274" s="67"/>
      <c r="T274" s="67"/>
      <c r="U274" s="67"/>
      <c r="V274" s="67"/>
      <c r="W274" s="67"/>
      <c r="X274" s="67"/>
      <c r="Y274" s="67"/>
      <c r="Z274" s="67"/>
      <c r="AA274" s="4"/>
      <c r="AB274" s="4"/>
      <c r="AC274" s="4"/>
      <c r="AD274" s="4"/>
    </row>
    <row r="275" spans="1:30" ht="14.25" customHeight="1">
      <c r="A275" s="768"/>
      <c r="B275" s="4"/>
      <c r="C275" s="768" t="s">
        <v>1885</v>
      </c>
      <c r="D275" s="508" t="s">
        <v>1862</v>
      </c>
      <c r="E275" s="508" t="s">
        <v>2205</v>
      </c>
      <c r="F275" s="577" t="s">
        <v>2194</v>
      </c>
      <c r="G275" s="508">
        <v>600</v>
      </c>
      <c r="H275" s="508">
        <v>4</v>
      </c>
      <c r="I275" s="579">
        <v>2400</v>
      </c>
      <c r="J275" s="579">
        <v>93.990575486670465</v>
      </c>
      <c r="K275" s="500"/>
      <c r="L275" s="560"/>
      <c r="M275" s="572"/>
      <c r="N275" s="67"/>
      <c r="O275" s="67"/>
      <c r="P275" s="67"/>
      <c r="Q275" s="67"/>
      <c r="R275" s="67"/>
      <c r="S275" s="67"/>
      <c r="T275" s="67"/>
      <c r="U275" s="67"/>
      <c r="V275" s="67"/>
      <c r="W275" s="67"/>
      <c r="X275" s="67"/>
      <c r="Y275" s="67"/>
      <c r="Z275" s="67"/>
      <c r="AA275" s="4"/>
      <c r="AB275" s="4"/>
      <c r="AC275" s="4"/>
      <c r="AD275" s="4"/>
    </row>
    <row r="276" spans="1:30" ht="14.25" customHeight="1">
      <c r="A276" s="768"/>
      <c r="B276" s="4"/>
      <c r="C276" s="768" t="s">
        <v>1885</v>
      </c>
      <c r="D276" s="508" t="s">
        <v>1909</v>
      </c>
      <c r="E276" s="508" t="s">
        <v>2206</v>
      </c>
      <c r="F276" s="577" t="s">
        <v>2194</v>
      </c>
      <c r="G276" s="508">
        <v>5500</v>
      </c>
      <c r="H276" s="508">
        <v>1</v>
      </c>
      <c r="I276" s="579">
        <v>5500</v>
      </c>
      <c r="J276" s="579">
        <v>215.39506882361982</v>
      </c>
      <c r="K276" s="500"/>
      <c r="L276" s="560"/>
      <c r="M276" s="572"/>
      <c r="N276" s="67"/>
      <c r="O276" s="67"/>
      <c r="P276" s="67"/>
      <c r="Q276" s="67"/>
      <c r="R276" s="67"/>
      <c r="S276" s="67"/>
      <c r="T276" s="67"/>
      <c r="U276" s="67"/>
      <c r="V276" s="67"/>
      <c r="W276" s="67"/>
      <c r="X276" s="67"/>
      <c r="Y276" s="67"/>
      <c r="Z276" s="67"/>
      <c r="AA276" s="4"/>
      <c r="AB276" s="4"/>
      <c r="AC276" s="4"/>
      <c r="AD276" s="4"/>
    </row>
    <row r="277" spans="1:30" ht="14.25" customHeight="1">
      <c r="A277" s="768"/>
      <c r="B277" s="4"/>
      <c r="C277" s="768" t="s">
        <v>1885</v>
      </c>
      <c r="D277" s="508" t="s">
        <v>1909</v>
      </c>
      <c r="E277" s="508" t="s">
        <v>2207</v>
      </c>
      <c r="F277" s="577" t="s">
        <v>2194</v>
      </c>
      <c r="G277" s="508">
        <v>3000</v>
      </c>
      <c r="H277" s="508">
        <v>1</v>
      </c>
      <c r="I277" s="579">
        <v>3000</v>
      </c>
      <c r="J277" s="579">
        <v>117.48821935833809</v>
      </c>
      <c r="K277" s="500"/>
      <c r="L277" s="560"/>
      <c r="M277" s="572"/>
      <c r="N277" s="67"/>
      <c r="O277" s="67"/>
      <c r="P277" s="67"/>
      <c r="Q277" s="67"/>
      <c r="R277" s="67"/>
      <c r="S277" s="67"/>
      <c r="T277" s="67"/>
      <c r="U277" s="67"/>
      <c r="V277" s="67"/>
      <c r="W277" s="67"/>
      <c r="X277" s="67"/>
      <c r="Y277" s="67"/>
      <c r="Z277" s="67"/>
      <c r="AA277" s="4"/>
      <c r="AB277" s="4"/>
      <c r="AC277" s="4"/>
      <c r="AD277" s="4"/>
    </row>
    <row r="278" spans="1:30" ht="14.25" customHeight="1">
      <c r="A278" s="768"/>
      <c r="B278" s="4"/>
      <c r="C278" s="768" t="s">
        <v>1885</v>
      </c>
      <c r="D278" s="508" t="s">
        <v>1909</v>
      </c>
      <c r="E278" s="508" t="s">
        <v>2208</v>
      </c>
      <c r="F278" s="577" t="s">
        <v>2194</v>
      </c>
      <c r="G278" s="508">
        <v>9500</v>
      </c>
      <c r="H278" s="508">
        <v>1</v>
      </c>
      <c r="I278" s="579">
        <v>9500</v>
      </c>
      <c r="J278" s="579">
        <v>372.04602796807063</v>
      </c>
      <c r="K278" s="500"/>
      <c r="L278" s="560"/>
      <c r="M278" s="572"/>
      <c r="N278" s="67"/>
      <c r="O278" s="67"/>
      <c r="P278" s="67"/>
      <c r="Q278" s="67"/>
      <c r="R278" s="67"/>
      <c r="S278" s="67"/>
      <c r="T278" s="67"/>
      <c r="U278" s="67"/>
      <c r="V278" s="67"/>
      <c r="W278" s="67"/>
      <c r="X278" s="67"/>
      <c r="Y278" s="67"/>
      <c r="Z278" s="67"/>
      <c r="AA278" s="4"/>
      <c r="AB278" s="4"/>
      <c r="AC278" s="4"/>
      <c r="AD278" s="4"/>
    </row>
    <row r="279" spans="1:30" ht="14.25" customHeight="1">
      <c r="A279" s="768"/>
      <c r="B279" s="4"/>
      <c r="C279" s="768" t="s">
        <v>1885</v>
      </c>
      <c r="D279" s="508" t="s">
        <v>1909</v>
      </c>
      <c r="E279" s="508" t="s">
        <v>2209</v>
      </c>
      <c r="F279" s="577" t="s">
        <v>2194</v>
      </c>
      <c r="G279" s="508">
        <v>5000</v>
      </c>
      <c r="H279" s="508">
        <v>1</v>
      </c>
      <c r="I279" s="579">
        <v>5000</v>
      </c>
      <c r="J279" s="579">
        <v>195.81369893056348</v>
      </c>
      <c r="K279" s="500"/>
      <c r="L279" s="560"/>
      <c r="M279" s="572"/>
      <c r="N279" s="67"/>
      <c r="O279" s="67"/>
      <c r="P279" s="67"/>
      <c r="Q279" s="67"/>
      <c r="R279" s="67"/>
      <c r="S279" s="67"/>
      <c r="T279" s="67"/>
      <c r="U279" s="67"/>
      <c r="V279" s="67"/>
      <c r="W279" s="67"/>
      <c r="X279" s="67"/>
      <c r="Y279" s="67"/>
      <c r="Z279" s="67"/>
      <c r="AA279" s="4"/>
      <c r="AB279" s="4"/>
      <c r="AC279" s="4"/>
      <c r="AD279" s="4"/>
    </row>
    <row r="280" spans="1:30" ht="14.25" customHeight="1">
      <c r="A280" s="768"/>
      <c r="B280" s="4"/>
      <c r="C280" s="768" t="s">
        <v>1885</v>
      </c>
      <c r="D280" s="508" t="s">
        <v>1909</v>
      </c>
      <c r="E280" s="508" t="s">
        <v>2210</v>
      </c>
      <c r="F280" s="577" t="s">
        <v>2194</v>
      </c>
      <c r="G280" s="508">
        <v>700</v>
      </c>
      <c r="H280" s="508">
        <v>1</v>
      </c>
      <c r="I280" s="579">
        <v>700</v>
      </c>
      <c r="J280" s="579">
        <v>27.413917850278889</v>
      </c>
      <c r="K280" s="500"/>
      <c r="L280" s="560"/>
      <c r="M280" s="572"/>
      <c r="N280" s="67"/>
      <c r="O280" s="67"/>
      <c r="P280" s="67"/>
      <c r="Q280" s="67"/>
      <c r="R280" s="67"/>
      <c r="S280" s="67"/>
      <c r="T280" s="67"/>
      <c r="U280" s="67"/>
      <c r="V280" s="67"/>
      <c r="W280" s="67"/>
      <c r="X280" s="67"/>
      <c r="Y280" s="67"/>
      <c r="Z280" s="67"/>
      <c r="AA280" s="4"/>
      <c r="AB280" s="4"/>
      <c r="AC280" s="4"/>
      <c r="AD280" s="4"/>
    </row>
    <row r="281" spans="1:30" ht="14.25" customHeight="1">
      <c r="A281" s="768"/>
      <c r="B281" s="4"/>
      <c r="C281" s="768" t="s">
        <v>1885</v>
      </c>
      <c r="D281" s="508" t="s">
        <v>1909</v>
      </c>
      <c r="E281" s="508" t="s">
        <v>2211</v>
      </c>
      <c r="F281" s="577" t="s">
        <v>2194</v>
      </c>
      <c r="G281" s="508">
        <v>2500</v>
      </c>
      <c r="H281" s="508">
        <v>1</v>
      </c>
      <c r="I281" s="579">
        <v>2500</v>
      </c>
      <c r="J281" s="579">
        <v>97.906849465281738</v>
      </c>
      <c r="K281" s="500"/>
      <c r="L281" s="560"/>
      <c r="M281" s="572"/>
      <c r="N281" s="67"/>
      <c r="O281" s="67"/>
      <c r="P281" s="67"/>
      <c r="Q281" s="67"/>
      <c r="R281" s="67"/>
      <c r="S281" s="67"/>
      <c r="T281" s="67"/>
      <c r="U281" s="67"/>
      <c r="V281" s="67"/>
      <c r="W281" s="67"/>
      <c r="X281" s="67"/>
      <c r="Y281" s="67"/>
      <c r="Z281" s="67"/>
      <c r="AA281" s="4"/>
      <c r="AB281" s="4"/>
      <c r="AC281" s="4"/>
      <c r="AD281" s="4"/>
    </row>
    <row r="282" spans="1:30" ht="14.25" customHeight="1">
      <c r="A282" s="768"/>
      <c r="B282" s="4"/>
      <c r="C282" s="768" t="s">
        <v>1885</v>
      </c>
      <c r="D282" s="508" t="s">
        <v>1862</v>
      </c>
      <c r="E282" s="508" t="s">
        <v>2275</v>
      </c>
      <c r="F282" s="577" t="s">
        <v>2213</v>
      </c>
      <c r="G282" s="508">
        <v>2000</v>
      </c>
      <c r="H282" s="508">
        <v>1</v>
      </c>
      <c r="I282" s="579">
        <v>2000</v>
      </c>
      <c r="J282" s="579">
        <v>78.32547957222539</v>
      </c>
      <c r="K282" s="500"/>
      <c r="L282" s="560"/>
      <c r="M282" s="572"/>
      <c r="N282" s="67"/>
      <c r="O282" s="67"/>
      <c r="P282" s="67"/>
      <c r="Q282" s="67"/>
      <c r="R282" s="67"/>
      <c r="S282" s="67"/>
      <c r="T282" s="67"/>
      <c r="U282" s="67"/>
      <c r="V282" s="67"/>
      <c r="W282" s="67"/>
      <c r="X282" s="67"/>
      <c r="Y282" s="67"/>
      <c r="Z282" s="67"/>
      <c r="AA282" s="4"/>
      <c r="AB282" s="4"/>
      <c r="AC282" s="4"/>
      <c r="AD282" s="4"/>
    </row>
    <row r="283" spans="1:30" ht="14.25" customHeight="1">
      <c r="A283" s="768"/>
      <c r="B283" s="4"/>
      <c r="C283" s="768" t="s">
        <v>1885</v>
      </c>
      <c r="D283" s="508" t="s">
        <v>1862</v>
      </c>
      <c r="E283" s="508" t="s">
        <v>2214</v>
      </c>
      <c r="F283" s="577" t="s">
        <v>2194</v>
      </c>
      <c r="G283" s="508">
        <v>500</v>
      </c>
      <c r="H283" s="508">
        <v>1</v>
      </c>
      <c r="I283" s="579">
        <v>500</v>
      </c>
      <c r="J283" s="579">
        <v>19.581369893056348</v>
      </c>
      <c r="K283" s="500"/>
      <c r="L283" s="560"/>
      <c r="M283" s="572"/>
      <c r="N283" s="67"/>
      <c r="O283" s="67"/>
      <c r="P283" s="67"/>
      <c r="Q283" s="67"/>
      <c r="R283" s="67"/>
      <c r="S283" s="67"/>
      <c r="T283" s="67"/>
      <c r="U283" s="67"/>
      <c r="V283" s="67"/>
      <c r="W283" s="67"/>
      <c r="X283" s="67"/>
      <c r="Y283" s="67"/>
      <c r="Z283" s="67"/>
      <c r="AA283" s="4"/>
      <c r="AB283" s="4"/>
      <c r="AC283" s="4"/>
      <c r="AD283" s="4"/>
    </row>
    <row r="284" spans="1:30" ht="14.25" customHeight="1">
      <c r="A284" s="768"/>
      <c r="B284" s="4"/>
      <c r="C284" s="768" t="s">
        <v>1885</v>
      </c>
      <c r="D284" s="508"/>
      <c r="E284" s="580" t="s">
        <v>2215</v>
      </c>
      <c r="F284" s="581"/>
      <c r="G284" s="508"/>
      <c r="H284" s="508"/>
      <c r="I284" s="579">
        <v>0</v>
      </c>
      <c r="J284" s="579">
        <v>0</v>
      </c>
      <c r="K284" s="500"/>
      <c r="L284" s="560"/>
      <c r="M284" s="572"/>
      <c r="N284" s="67"/>
      <c r="O284" s="67"/>
      <c r="P284" s="67"/>
      <c r="Q284" s="67"/>
      <c r="R284" s="67"/>
      <c r="S284" s="67"/>
      <c r="T284" s="67"/>
      <c r="U284" s="67"/>
      <c r="V284" s="67"/>
      <c r="W284" s="67"/>
      <c r="X284" s="67"/>
      <c r="Y284" s="67"/>
      <c r="Z284" s="67"/>
      <c r="AA284" s="4"/>
      <c r="AB284" s="4"/>
      <c r="AC284" s="4"/>
      <c r="AD284" s="4"/>
    </row>
    <row r="285" spans="1:30" ht="14.25" customHeight="1">
      <c r="A285" s="768"/>
      <c r="B285" s="4"/>
      <c r="C285" s="768" t="s">
        <v>1885</v>
      </c>
      <c r="D285" s="508" t="s">
        <v>1862</v>
      </c>
      <c r="E285" s="508" t="s">
        <v>2216</v>
      </c>
      <c r="F285" s="577" t="s">
        <v>2194</v>
      </c>
      <c r="G285" s="508">
        <v>5000</v>
      </c>
      <c r="H285" s="508">
        <v>1</v>
      </c>
      <c r="I285" s="579">
        <v>5000</v>
      </c>
      <c r="J285" s="579">
        <v>195.81369893056348</v>
      </c>
      <c r="K285" s="500"/>
      <c r="L285" s="560"/>
      <c r="M285" s="572"/>
      <c r="N285" s="67"/>
      <c r="O285" s="67"/>
      <c r="P285" s="67"/>
      <c r="Q285" s="67"/>
      <c r="R285" s="67"/>
      <c r="S285" s="67"/>
      <c r="T285" s="67"/>
      <c r="U285" s="67"/>
      <c r="V285" s="67"/>
      <c r="W285" s="67"/>
      <c r="X285" s="67"/>
      <c r="Y285" s="67"/>
      <c r="Z285" s="67"/>
      <c r="AA285" s="4"/>
      <c r="AB285" s="4"/>
      <c r="AC285" s="4"/>
      <c r="AD285" s="4"/>
    </row>
    <row r="286" spans="1:30" ht="14.25" customHeight="1">
      <c r="A286" s="768"/>
      <c r="B286" s="4"/>
      <c r="C286" s="768" t="s">
        <v>1885</v>
      </c>
      <c r="D286" s="508" t="s">
        <v>1862</v>
      </c>
      <c r="E286" s="508" t="s">
        <v>2217</v>
      </c>
      <c r="F286" s="577" t="s">
        <v>2194</v>
      </c>
      <c r="G286" s="508">
        <v>4500</v>
      </c>
      <c r="H286" s="508">
        <v>1</v>
      </c>
      <c r="I286" s="579">
        <v>4500</v>
      </c>
      <c r="J286" s="579">
        <v>176.23232903750713</v>
      </c>
      <c r="K286" s="500"/>
      <c r="L286" s="560"/>
      <c r="M286" s="572"/>
      <c r="N286" s="67"/>
      <c r="O286" s="67"/>
      <c r="P286" s="67"/>
      <c r="Q286" s="67"/>
      <c r="R286" s="67"/>
      <c r="S286" s="67"/>
      <c r="T286" s="67"/>
      <c r="U286" s="67"/>
      <c r="V286" s="67"/>
      <c r="W286" s="67"/>
      <c r="X286" s="67"/>
      <c r="Y286" s="67"/>
      <c r="Z286" s="67"/>
      <c r="AA286" s="4"/>
      <c r="AB286" s="4"/>
      <c r="AC286" s="4"/>
      <c r="AD286" s="4"/>
    </row>
    <row r="287" spans="1:30" ht="14.25" customHeight="1">
      <c r="A287" s="768"/>
      <c r="B287" s="4"/>
      <c r="C287" s="768" t="s">
        <v>1885</v>
      </c>
      <c r="D287" s="508" t="s">
        <v>1862</v>
      </c>
      <c r="E287" s="508" t="s">
        <v>2218</v>
      </c>
      <c r="F287" s="577" t="s">
        <v>2194</v>
      </c>
      <c r="G287" s="508">
        <v>1500</v>
      </c>
      <c r="H287" s="508">
        <v>1</v>
      </c>
      <c r="I287" s="579">
        <v>1500</v>
      </c>
      <c r="J287" s="579">
        <v>58.744109679169043</v>
      </c>
      <c r="K287" s="500"/>
      <c r="L287" s="560"/>
      <c r="M287" s="572"/>
      <c r="N287" s="67"/>
      <c r="O287" s="67"/>
      <c r="P287" s="67"/>
      <c r="Q287" s="67"/>
      <c r="R287" s="67"/>
      <c r="S287" s="67"/>
      <c r="T287" s="67"/>
      <c r="U287" s="67"/>
      <c r="V287" s="67"/>
      <c r="W287" s="67"/>
      <c r="X287" s="67"/>
      <c r="Y287" s="67"/>
      <c r="Z287" s="67"/>
      <c r="AA287" s="4"/>
      <c r="AB287" s="4"/>
      <c r="AC287" s="4"/>
      <c r="AD287" s="4"/>
    </row>
    <row r="288" spans="1:30" ht="14.25" customHeight="1">
      <c r="A288" s="768"/>
      <c r="B288" s="4"/>
      <c r="C288" s="768" t="s">
        <v>1885</v>
      </c>
      <c r="D288" s="508" t="s">
        <v>1909</v>
      </c>
      <c r="E288" s="508" t="s">
        <v>2219</v>
      </c>
      <c r="F288" s="577" t="s">
        <v>2194</v>
      </c>
      <c r="G288" s="508">
        <v>6500</v>
      </c>
      <c r="H288" s="508">
        <v>1</v>
      </c>
      <c r="I288" s="579">
        <v>6500</v>
      </c>
      <c r="J288" s="579">
        <v>254.55780860973252</v>
      </c>
      <c r="K288" s="500"/>
      <c r="L288" s="560"/>
      <c r="M288" s="572"/>
      <c r="N288" s="67"/>
      <c r="O288" s="67"/>
      <c r="P288" s="67"/>
      <c r="Q288" s="67"/>
      <c r="R288" s="67"/>
      <c r="S288" s="67"/>
      <c r="T288" s="67"/>
      <c r="U288" s="67"/>
      <c r="V288" s="67"/>
      <c r="W288" s="67"/>
      <c r="X288" s="67"/>
      <c r="Y288" s="67"/>
      <c r="Z288" s="67"/>
      <c r="AA288" s="4"/>
      <c r="AB288" s="4"/>
      <c r="AC288" s="4"/>
      <c r="AD288" s="4"/>
    </row>
    <row r="289" spans="1:30" ht="14.25" customHeight="1">
      <c r="A289" s="768"/>
      <c r="B289" s="4"/>
      <c r="C289" s="768" t="s">
        <v>1885</v>
      </c>
      <c r="D289" s="508" t="s">
        <v>1909</v>
      </c>
      <c r="E289" s="508" t="s">
        <v>2209</v>
      </c>
      <c r="F289" s="577" t="s">
        <v>2194</v>
      </c>
      <c r="G289" s="508">
        <v>5000</v>
      </c>
      <c r="H289" s="508">
        <v>1</v>
      </c>
      <c r="I289" s="579">
        <v>5000</v>
      </c>
      <c r="J289" s="579">
        <v>195.81369893056348</v>
      </c>
      <c r="K289" s="500"/>
      <c r="L289" s="560"/>
      <c r="M289" s="572"/>
      <c r="N289" s="67"/>
      <c r="O289" s="67"/>
      <c r="P289" s="67"/>
      <c r="Q289" s="67"/>
      <c r="R289" s="67"/>
      <c r="S289" s="67"/>
      <c r="T289" s="67"/>
      <c r="U289" s="67"/>
      <c r="V289" s="67"/>
      <c r="W289" s="67"/>
      <c r="X289" s="67"/>
      <c r="Y289" s="67"/>
      <c r="Z289" s="67"/>
      <c r="AA289" s="4"/>
      <c r="AB289" s="4"/>
      <c r="AC289" s="4"/>
      <c r="AD289" s="4"/>
    </row>
    <row r="290" spans="1:30" ht="14.25" customHeight="1">
      <c r="A290" s="768"/>
      <c r="B290" s="4"/>
      <c r="C290" s="768" t="s">
        <v>1885</v>
      </c>
      <c r="D290" s="508"/>
      <c r="E290" s="580" t="s">
        <v>2220</v>
      </c>
      <c r="F290" s="581"/>
      <c r="G290" s="508"/>
      <c r="H290" s="508"/>
      <c r="I290" s="579">
        <v>0</v>
      </c>
      <c r="J290" s="579">
        <v>0</v>
      </c>
      <c r="K290" s="500"/>
      <c r="L290" s="560"/>
      <c r="M290" s="572"/>
      <c r="N290" s="67"/>
      <c r="O290" s="67"/>
      <c r="P290" s="67"/>
      <c r="Q290" s="67"/>
      <c r="R290" s="67"/>
      <c r="S290" s="67"/>
      <c r="T290" s="67"/>
      <c r="U290" s="67"/>
      <c r="V290" s="67"/>
      <c r="W290" s="67"/>
      <c r="X290" s="67"/>
      <c r="Y290" s="67"/>
      <c r="Z290" s="67"/>
      <c r="AA290" s="4"/>
      <c r="AB290" s="4"/>
      <c r="AC290" s="4"/>
      <c r="AD290" s="4"/>
    </row>
    <row r="291" spans="1:30" ht="14.25" customHeight="1">
      <c r="A291" s="768"/>
      <c r="B291" s="4"/>
      <c r="C291" s="768" t="s">
        <v>1885</v>
      </c>
      <c r="D291" s="508" t="s">
        <v>1909</v>
      </c>
      <c r="E291" s="508" t="s">
        <v>2221</v>
      </c>
      <c r="F291" s="577" t="s">
        <v>2194</v>
      </c>
      <c r="G291" s="508">
        <v>1000</v>
      </c>
      <c r="H291" s="508">
        <v>2</v>
      </c>
      <c r="I291" s="579">
        <v>2000</v>
      </c>
      <c r="J291" s="579">
        <v>78.32547957222539</v>
      </c>
      <c r="K291" s="500"/>
      <c r="L291" s="560"/>
      <c r="M291" s="572"/>
      <c r="N291" s="67"/>
      <c r="O291" s="67"/>
      <c r="P291" s="67"/>
      <c r="Q291" s="67"/>
      <c r="R291" s="67"/>
      <c r="S291" s="67"/>
      <c r="T291" s="67"/>
      <c r="U291" s="67"/>
      <c r="V291" s="67"/>
      <c r="W291" s="67"/>
      <c r="X291" s="67"/>
      <c r="Y291" s="67"/>
      <c r="Z291" s="67"/>
      <c r="AA291" s="4"/>
      <c r="AB291" s="4"/>
      <c r="AC291" s="4"/>
      <c r="AD291" s="4"/>
    </row>
    <row r="292" spans="1:30" ht="14.25" customHeight="1">
      <c r="A292" s="768"/>
      <c r="B292" s="4"/>
      <c r="C292" s="768" t="s">
        <v>1885</v>
      </c>
      <c r="D292" s="508" t="s">
        <v>1862</v>
      </c>
      <c r="E292" s="508" t="s">
        <v>2222</v>
      </c>
      <c r="F292" s="577" t="s">
        <v>2194</v>
      </c>
      <c r="G292" s="508">
        <v>450</v>
      </c>
      <c r="H292" s="508">
        <v>1</v>
      </c>
      <c r="I292" s="579">
        <v>450</v>
      </c>
      <c r="J292" s="579">
        <v>17.623232903750715</v>
      </c>
      <c r="K292" s="500"/>
      <c r="L292" s="560"/>
      <c r="M292" s="572"/>
      <c r="N292" s="67"/>
      <c r="O292" s="67"/>
      <c r="P292" s="67"/>
      <c r="Q292" s="67"/>
      <c r="R292" s="67"/>
      <c r="S292" s="67"/>
      <c r="T292" s="67"/>
      <c r="U292" s="67"/>
      <c r="V292" s="67"/>
      <c r="W292" s="67"/>
      <c r="X292" s="67"/>
      <c r="Y292" s="67"/>
      <c r="Z292" s="67"/>
      <c r="AA292" s="4"/>
      <c r="AB292" s="4"/>
      <c r="AC292" s="4"/>
      <c r="AD292" s="4"/>
    </row>
    <row r="293" spans="1:30" ht="14.25" customHeight="1">
      <c r="A293" s="768"/>
      <c r="B293" s="4"/>
      <c r="C293" s="768" t="s">
        <v>1885</v>
      </c>
      <c r="D293" s="508" t="s">
        <v>1909</v>
      </c>
      <c r="E293" s="508" t="s">
        <v>2223</v>
      </c>
      <c r="F293" s="577" t="s">
        <v>2194</v>
      </c>
      <c r="G293" s="508">
        <v>700</v>
      </c>
      <c r="H293" s="508">
        <v>1</v>
      </c>
      <c r="I293" s="579">
        <v>700</v>
      </c>
      <c r="J293" s="579">
        <v>27.413917850278889</v>
      </c>
      <c r="K293" s="500"/>
      <c r="L293" s="560"/>
      <c r="M293" s="572"/>
      <c r="N293" s="67"/>
      <c r="O293" s="67"/>
      <c r="P293" s="67"/>
      <c r="Q293" s="67"/>
      <c r="R293" s="67"/>
      <c r="S293" s="67"/>
      <c r="T293" s="67"/>
      <c r="U293" s="67"/>
      <c r="V293" s="67"/>
      <c r="W293" s="67"/>
      <c r="X293" s="67"/>
      <c r="Y293" s="67"/>
      <c r="Z293" s="67"/>
      <c r="AA293" s="4"/>
      <c r="AB293" s="4"/>
      <c r="AC293" s="4"/>
      <c r="AD293" s="4"/>
    </row>
    <row r="294" spans="1:30" ht="14.25" customHeight="1">
      <c r="A294" s="768"/>
      <c r="B294" s="4"/>
      <c r="C294" s="768" t="s">
        <v>1885</v>
      </c>
      <c r="D294" s="508" t="s">
        <v>1909</v>
      </c>
      <c r="E294" s="508" t="s">
        <v>2224</v>
      </c>
      <c r="F294" s="577" t="s">
        <v>2194</v>
      </c>
      <c r="G294" s="508">
        <v>1200</v>
      </c>
      <c r="H294" s="508">
        <v>2</v>
      </c>
      <c r="I294" s="579">
        <v>2400</v>
      </c>
      <c r="J294" s="579">
        <v>93.990575486670465</v>
      </c>
      <c r="K294" s="500"/>
      <c r="L294" s="560"/>
      <c r="M294" s="572"/>
      <c r="N294" s="67"/>
      <c r="O294" s="67"/>
      <c r="P294" s="67"/>
      <c r="Q294" s="67"/>
      <c r="R294" s="67"/>
      <c r="S294" s="67"/>
      <c r="T294" s="67"/>
      <c r="U294" s="67"/>
      <c r="V294" s="67"/>
      <c r="W294" s="67"/>
      <c r="X294" s="67"/>
      <c r="Y294" s="67"/>
      <c r="Z294" s="67"/>
      <c r="AA294" s="4"/>
      <c r="AB294" s="4"/>
      <c r="AC294" s="4"/>
      <c r="AD294" s="4"/>
    </row>
    <row r="295" spans="1:30" ht="14.25" customHeight="1">
      <c r="A295" s="768"/>
      <c r="B295" s="4"/>
      <c r="C295" s="768" t="s">
        <v>1885</v>
      </c>
      <c r="D295" s="508" t="s">
        <v>1909</v>
      </c>
      <c r="E295" s="508" t="s">
        <v>2225</v>
      </c>
      <c r="F295" s="577" t="s">
        <v>2194</v>
      </c>
      <c r="G295" s="508">
        <v>3000</v>
      </c>
      <c r="H295" s="508">
        <v>1</v>
      </c>
      <c r="I295" s="579">
        <v>3000</v>
      </c>
      <c r="J295" s="579">
        <v>117.48821935833809</v>
      </c>
      <c r="K295" s="500"/>
      <c r="L295" s="560"/>
      <c r="M295" s="572"/>
      <c r="N295" s="67"/>
      <c r="O295" s="67"/>
      <c r="P295" s="67"/>
      <c r="Q295" s="67"/>
      <c r="R295" s="67"/>
      <c r="S295" s="67"/>
      <c r="T295" s="67"/>
      <c r="U295" s="67"/>
      <c r="V295" s="67"/>
      <c r="W295" s="67"/>
      <c r="X295" s="67"/>
      <c r="Y295" s="67"/>
      <c r="Z295" s="67"/>
      <c r="AA295" s="4"/>
      <c r="AB295" s="4"/>
      <c r="AC295" s="4"/>
      <c r="AD295" s="4"/>
    </row>
    <row r="296" spans="1:30" ht="14.25" customHeight="1">
      <c r="A296" s="768"/>
      <c r="B296" s="4"/>
      <c r="C296" s="768" t="s">
        <v>1885</v>
      </c>
      <c r="D296" s="508" t="s">
        <v>1862</v>
      </c>
      <c r="E296" s="508" t="s">
        <v>2226</v>
      </c>
      <c r="F296" s="577" t="s">
        <v>2194</v>
      </c>
      <c r="G296" s="508">
        <v>1000</v>
      </c>
      <c r="H296" s="508">
        <v>1</v>
      </c>
      <c r="I296" s="579">
        <v>1000</v>
      </c>
      <c r="J296" s="579">
        <v>39.162739786112695</v>
      </c>
      <c r="K296" s="500"/>
      <c r="L296" s="560"/>
      <c r="M296" s="572"/>
      <c r="N296" s="67"/>
      <c r="O296" s="67"/>
      <c r="P296" s="67"/>
      <c r="Q296" s="67"/>
      <c r="R296" s="67"/>
      <c r="S296" s="67"/>
      <c r="T296" s="67"/>
      <c r="U296" s="67"/>
      <c r="V296" s="67"/>
      <c r="W296" s="67"/>
      <c r="X296" s="67"/>
      <c r="Y296" s="67"/>
      <c r="Z296" s="67"/>
      <c r="AA296" s="4"/>
      <c r="AB296" s="4"/>
      <c r="AC296" s="4"/>
      <c r="AD296" s="4"/>
    </row>
    <row r="297" spans="1:30" ht="14.25" customHeight="1">
      <c r="A297" s="768"/>
      <c r="B297" s="4"/>
      <c r="C297" s="768" t="s">
        <v>1885</v>
      </c>
      <c r="D297" s="508" t="s">
        <v>1909</v>
      </c>
      <c r="E297" s="508" t="s">
        <v>2227</v>
      </c>
      <c r="F297" s="577" t="s">
        <v>2194</v>
      </c>
      <c r="G297" s="508">
        <v>600</v>
      </c>
      <c r="H297" s="508">
        <v>1</v>
      </c>
      <c r="I297" s="579">
        <v>600</v>
      </c>
      <c r="J297" s="579">
        <v>23.497643871667616</v>
      </c>
      <c r="K297" s="500"/>
      <c r="L297" s="560"/>
      <c r="M297" s="572"/>
      <c r="N297" s="67"/>
      <c r="O297" s="67"/>
      <c r="P297" s="67"/>
      <c r="Q297" s="67"/>
      <c r="R297" s="67"/>
      <c r="S297" s="67"/>
      <c r="T297" s="67"/>
      <c r="U297" s="67"/>
      <c r="V297" s="67"/>
      <c r="W297" s="67"/>
      <c r="X297" s="67"/>
      <c r="Y297" s="67"/>
      <c r="Z297" s="67"/>
      <c r="AA297" s="4"/>
      <c r="AB297" s="4"/>
      <c r="AC297" s="4"/>
      <c r="AD297" s="4"/>
    </row>
    <row r="298" spans="1:30" ht="14.25" customHeight="1">
      <c r="A298" s="768"/>
      <c r="B298" s="4"/>
      <c r="C298" s="768" t="s">
        <v>1885</v>
      </c>
      <c r="D298" s="508" t="s">
        <v>1392</v>
      </c>
      <c r="E298" s="508" t="s">
        <v>2228</v>
      </c>
      <c r="F298" s="577" t="s">
        <v>2194</v>
      </c>
      <c r="G298" s="508">
        <v>7000</v>
      </c>
      <c r="H298" s="508">
        <v>1</v>
      </c>
      <c r="I298" s="579">
        <v>7000</v>
      </c>
      <c r="J298" s="579">
        <v>274.13917850278887</v>
      </c>
      <c r="K298" s="500"/>
      <c r="L298" s="560"/>
      <c r="M298" s="572"/>
      <c r="N298" s="67"/>
      <c r="O298" s="67"/>
      <c r="P298" s="67"/>
      <c r="Q298" s="67"/>
      <c r="R298" s="67"/>
      <c r="S298" s="67"/>
      <c r="T298" s="67"/>
      <c r="U298" s="67"/>
      <c r="V298" s="67"/>
      <c r="W298" s="67"/>
      <c r="X298" s="67"/>
      <c r="Y298" s="67"/>
      <c r="Z298" s="67"/>
      <c r="AA298" s="4"/>
      <c r="AB298" s="4"/>
      <c r="AC298" s="4"/>
      <c r="AD298" s="4"/>
    </row>
    <row r="299" spans="1:30" ht="14.25" customHeight="1">
      <c r="A299" s="768"/>
      <c r="B299" s="4"/>
      <c r="C299" s="768" t="s">
        <v>1885</v>
      </c>
      <c r="D299" s="508" t="s">
        <v>1392</v>
      </c>
      <c r="E299" s="508" t="s">
        <v>2276</v>
      </c>
      <c r="F299" s="577" t="s">
        <v>2194</v>
      </c>
      <c r="G299" s="508">
        <v>15000</v>
      </c>
      <c r="H299" s="508">
        <v>1</v>
      </c>
      <c r="I299" s="579">
        <v>15000</v>
      </c>
      <c r="J299" s="579">
        <v>587.44109679169048</v>
      </c>
      <c r="K299" s="500"/>
      <c r="L299" s="560"/>
      <c r="M299" s="572"/>
      <c r="N299" s="67"/>
      <c r="O299" s="67"/>
      <c r="P299" s="67"/>
      <c r="Q299" s="67"/>
      <c r="R299" s="67"/>
      <c r="S299" s="67"/>
      <c r="T299" s="67"/>
      <c r="U299" s="67"/>
      <c r="V299" s="67"/>
      <c r="W299" s="67"/>
      <c r="X299" s="67"/>
      <c r="Y299" s="67"/>
      <c r="Z299" s="67"/>
      <c r="AA299" s="4"/>
      <c r="AB299" s="4"/>
      <c r="AC299" s="4"/>
      <c r="AD299" s="4"/>
    </row>
    <row r="300" spans="1:30" ht="14.25" customHeight="1">
      <c r="A300" s="768"/>
      <c r="B300" s="4"/>
      <c r="C300" s="768" t="s">
        <v>1885</v>
      </c>
      <c r="D300" s="508" t="s">
        <v>1862</v>
      </c>
      <c r="E300" s="508" t="s">
        <v>2277</v>
      </c>
      <c r="F300" s="577" t="s">
        <v>2194</v>
      </c>
      <c r="G300" s="508">
        <v>500</v>
      </c>
      <c r="H300" s="508">
        <v>2</v>
      </c>
      <c r="I300" s="579">
        <v>1000</v>
      </c>
      <c r="J300" s="579">
        <v>39.162739786112695</v>
      </c>
      <c r="K300" s="500"/>
      <c r="L300" s="560"/>
      <c r="M300" s="572"/>
      <c r="N300" s="67"/>
      <c r="O300" s="67"/>
      <c r="P300" s="67"/>
      <c r="Q300" s="67"/>
      <c r="R300" s="67"/>
      <c r="S300" s="67"/>
      <c r="T300" s="67"/>
      <c r="U300" s="67"/>
      <c r="V300" s="67"/>
      <c r="W300" s="67"/>
      <c r="X300" s="67"/>
      <c r="Y300" s="67"/>
      <c r="Z300" s="67"/>
      <c r="AA300" s="4"/>
      <c r="AB300" s="4"/>
      <c r="AC300" s="4"/>
      <c r="AD300" s="4"/>
    </row>
    <row r="301" spans="1:30" ht="14.25" customHeight="1">
      <c r="A301" s="768"/>
      <c r="B301" s="4"/>
      <c r="C301" s="768" t="s">
        <v>1885</v>
      </c>
      <c r="D301" s="508" t="s">
        <v>1862</v>
      </c>
      <c r="E301" s="508" t="s">
        <v>2231</v>
      </c>
      <c r="F301" s="577" t="s">
        <v>2194</v>
      </c>
      <c r="G301" s="508">
        <v>300</v>
      </c>
      <c r="H301" s="508">
        <v>1</v>
      </c>
      <c r="I301" s="579">
        <v>300</v>
      </c>
      <c r="J301" s="579">
        <v>11.748821935833808</v>
      </c>
      <c r="K301" s="500"/>
      <c r="L301" s="560"/>
      <c r="M301" s="572"/>
      <c r="N301" s="67"/>
      <c r="O301" s="67"/>
      <c r="P301" s="67"/>
      <c r="Q301" s="67"/>
      <c r="R301" s="67"/>
      <c r="S301" s="67"/>
      <c r="T301" s="67"/>
      <c r="U301" s="67"/>
      <c r="V301" s="67"/>
      <c r="W301" s="67"/>
      <c r="X301" s="67"/>
      <c r="Y301" s="67"/>
      <c r="Z301" s="67"/>
      <c r="AA301" s="4"/>
      <c r="AB301" s="4"/>
      <c r="AC301" s="4"/>
      <c r="AD301" s="4"/>
    </row>
    <row r="302" spans="1:30" ht="14.25" customHeight="1">
      <c r="A302" s="768"/>
      <c r="B302" s="4"/>
      <c r="C302" s="768" t="s">
        <v>1885</v>
      </c>
      <c r="D302" s="508" t="s">
        <v>1862</v>
      </c>
      <c r="E302" s="508" t="s">
        <v>2232</v>
      </c>
      <c r="F302" s="577" t="s">
        <v>2194</v>
      </c>
      <c r="G302" s="508">
        <v>500</v>
      </c>
      <c r="H302" s="508">
        <v>1</v>
      </c>
      <c r="I302" s="579">
        <v>500</v>
      </c>
      <c r="J302" s="579">
        <v>19.581369893056348</v>
      </c>
      <c r="K302" s="500"/>
      <c r="L302" s="560"/>
      <c r="M302" s="572"/>
      <c r="N302" s="67"/>
      <c r="O302" s="67"/>
      <c r="P302" s="67"/>
      <c r="Q302" s="67"/>
      <c r="R302" s="67"/>
      <c r="S302" s="67"/>
      <c r="T302" s="67"/>
      <c r="U302" s="67"/>
      <c r="V302" s="67"/>
      <c r="W302" s="67"/>
      <c r="X302" s="67"/>
      <c r="Y302" s="67"/>
      <c r="Z302" s="67"/>
      <c r="AA302" s="4"/>
      <c r="AB302" s="4"/>
      <c r="AC302" s="4"/>
      <c r="AD302" s="4"/>
    </row>
    <row r="303" spans="1:30" ht="14.25" customHeight="1">
      <c r="A303" s="768"/>
      <c r="B303" s="4"/>
      <c r="C303" s="768" t="s">
        <v>1885</v>
      </c>
      <c r="D303" s="508" t="s">
        <v>1862</v>
      </c>
      <c r="E303" s="508" t="s">
        <v>2233</v>
      </c>
      <c r="F303" s="577" t="s">
        <v>2194</v>
      </c>
      <c r="G303" s="508">
        <v>1000</v>
      </c>
      <c r="H303" s="508">
        <v>1</v>
      </c>
      <c r="I303" s="579">
        <v>1000</v>
      </c>
      <c r="J303" s="579">
        <v>39.162739786112695</v>
      </c>
      <c r="K303" s="500"/>
      <c r="L303" s="560"/>
      <c r="M303" s="572"/>
      <c r="N303" s="67"/>
      <c r="O303" s="67"/>
      <c r="P303" s="67"/>
      <c r="Q303" s="67"/>
      <c r="R303" s="67"/>
      <c r="S303" s="67"/>
      <c r="T303" s="67"/>
      <c r="U303" s="67"/>
      <c r="V303" s="67"/>
      <c r="W303" s="67"/>
      <c r="X303" s="67"/>
      <c r="Y303" s="67"/>
      <c r="Z303" s="67"/>
      <c r="AA303" s="4"/>
      <c r="AB303" s="4"/>
      <c r="AC303" s="4"/>
      <c r="AD303" s="4"/>
    </row>
    <row r="304" spans="1:30" ht="14.25" customHeight="1">
      <c r="A304" s="768"/>
      <c r="B304" s="4"/>
      <c r="C304" s="768" t="s">
        <v>1885</v>
      </c>
      <c r="D304" s="508" t="s">
        <v>1392</v>
      </c>
      <c r="E304" s="508" t="s">
        <v>2234</v>
      </c>
      <c r="F304" s="577" t="s">
        <v>2194</v>
      </c>
      <c r="G304" s="508">
        <v>1000</v>
      </c>
      <c r="H304" s="508">
        <v>1</v>
      </c>
      <c r="I304" s="579">
        <v>1000</v>
      </c>
      <c r="J304" s="579">
        <v>39.162739786112695</v>
      </c>
      <c r="K304" s="500"/>
      <c r="L304" s="560"/>
      <c r="M304" s="572"/>
      <c r="N304" s="67"/>
      <c r="O304" s="67"/>
      <c r="P304" s="67"/>
      <c r="Q304" s="67"/>
      <c r="R304" s="67"/>
      <c r="S304" s="67"/>
      <c r="T304" s="67"/>
      <c r="U304" s="67"/>
      <c r="V304" s="67"/>
      <c r="W304" s="67"/>
      <c r="X304" s="67"/>
      <c r="Y304" s="67"/>
      <c r="Z304" s="67"/>
      <c r="AA304" s="4"/>
      <c r="AB304" s="4"/>
      <c r="AC304" s="4"/>
      <c r="AD304" s="4"/>
    </row>
    <row r="305" spans="1:30" ht="14.25" customHeight="1">
      <c r="A305" s="768"/>
      <c r="B305" s="4"/>
      <c r="C305" s="768" t="s">
        <v>1885</v>
      </c>
      <c r="D305" s="508" t="s">
        <v>1862</v>
      </c>
      <c r="E305" s="508" t="s">
        <v>2235</v>
      </c>
      <c r="F305" s="577" t="s">
        <v>2194</v>
      </c>
      <c r="G305" s="508">
        <v>2500</v>
      </c>
      <c r="H305" s="508">
        <v>1</v>
      </c>
      <c r="I305" s="579">
        <v>2500</v>
      </c>
      <c r="J305" s="579">
        <v>97.906849465281738</v>
      </c>
      <c r="K305" s="500"/>
      <c r="L305" s="560"/>
      <c r="M305" s="572"/>
      <c r="N305" s="67"/>
      <c r="O305" s="67"/>
      <c r="P305" s="67"/>
      <c r="Q305" s="67"/>
      <c r="R305" s="67"/>
      <c r="S305" s="67"/>
      <c r="T305" s="67"/>
      <c r="U305" s="67"/>
      <c r="V305" s="67"/>
      <c r="W305" s="67"/>
      <c r="X305" s="67"/>
      <c r="Y305" s="67"/>
      <c r="Z305" s="67"/>
      <c r="AA305" s="4"/>
      <c r="AB305" s="4"/>
      <c r="AC305" s="4"/>
      <c r="AD305" s="4"/>
    </row>
    <row r="306" spans="1:30" ht="14.25" customHeight="1">
      <c r="A306" s="768"/>
      <c r="B306" s="4"/>
      <c r="C306" s="768" t="s">
        <v>1885</v>
      </c>
      <c r="D306" s="508" t="s">
        <v>1862</v>
      </c>
      <c r="E306" s="508" t="s">
        <v>2236</v>
      </c>
      <c r="F306" s="577" t="s">
        <v>2194</v>
      </c>
      <c r="G306" s="508">
        <v>2500</v>
      </c>
      <c r="H306" s="508">
        <v>1</v>
      </c>
      <c r="I306" s="579">
        <v>2500</v>
      </c>
      <c r="J306" s="579">
        <v>97.906849465281738</v>
      </c>
      <c r="K306" s="500"/>
      <c r="L306" s="560"/>
      <c r="M306" s="572"/>
      <c r="N306" s="67"/>
      <c r="O306" s="67"/>
      <c r="P306" s="67"/>
      <c r="Q306" s="67"/>
      <c r="R306" s="67"/>
      <c r="S306" s="67"/>
      <c r="T306" s="67"/>
      <c r="U306" s="67"/>
      <c r="V306" s="67"/>
      <c r="W306" s="67"/>
      <c r="X306" s="67"/>
      <c r="Y306" s="67"/>
      <c r="Z306" s="67"/>
      <c r="AA306" s="4"/>
      <c r="AB306" s="4"/>
      <c r="AC306" s="4"/>
      <c r="AD306" s="4"/>
    </row>
    <row r="307" spans="1:30" ht="14.25" customHeight="1">
      <c r="A307" s="768"/>
      <c r="B307" s="4"/>
      <c r="C307" s="768" t="s">
        <v>1885</v>
      </c>
      <c r="D307" s="508" t="s">
        <v>1862</v>
      </c>
      <c r="E307" s="508" t="s">
        <v>2237</v>
      </c>
      <c r="F307" s="577" t="s">
        <v>2194</v>
      </c>
      <c r="G307" s="508">
        <v>400</v>
      </c>
      <c r="H307" s="508">
        <v>4</v>
      </c>
      <c r="I307" s="579">
        <v>1600</v>
      </c>
      <c r="J307" s="579">
        <v>62.660383657780315</v>
      </c>
      <c r="K307" s="500"/>
      <c r="L307" s="560"/>
      <c r="M307" s="572"/>
      <c r="N307" s="67"/>
      <c r="O307" s="67"/>
      <c r="P307" s="67"/>
      <c r="Q307" s="67"/>
      <c r="R307" s="67"/>
      <c r="S307" s="67"/>
      <c r="T307" s="67"/>
      <c r="U307" s="67"/>
      <c r="V307" s="67"/>
      <c r="W307" s="67"/>
      <c r="X307" s="67"/>
      <c r="Y307" s="67"/>
      <c r="Z307" s="67"/>
      <c r="AA307" s="4"/>
      <c r="AB307" s="4"/>
      <c r="AC307" s="4"/>
      <c r="AD307" s="4"/>
    </row>
    <row r="308" spans="1:30" ht="14.25" customHeight="1">
      <c r="A308" s="768"/>
      <c r="B308" s="4"/>
      <c r="C308" s="768" t="s">
        <v>1885</v>
      </c>
      <c r="D308" s="508" t="s">
        <v>1862</v>
      </c>
      <c r="E308" s="508" t="s">
        <v>2238</v>
      </c>
      <c r="F308" s="577" t="s">
        <v>2194</v>
      </c>
      <c r="G308" s="508">
        <v>800</v>
      </c>
      <c r="H308" s="508">
        <v>1</v>
      </c>
      <c r="I308" s="579">
        <v>800</v>
      </c>
      <c r="J308" s="579">
        <v>31.330191828890158</v>
      </c>
      <c r="K308" s="500"/>
      <c r="L308" s="560"/>
      <c r="M308" s="572"/>
      <c r="N308" s="67"/>
      <c r="O308" s="67"/>
      <c r="P308" s="67"/>
      <c r="Q308" s="67"/>
      <c r="R308" s="67"/>
      <c r="S308" s="67"/>
      <c r="T308" s="67"/>
      <c r="U308" s="67"/>
      <c r="V308" s="67"/>
      <c r="W308" s="67"/>
      <c r="X308" s="67"/>
      <c r="Y308" s="67"/>
      <c r="Z308" s="67"/>
      <c r="AA308" s="4"/>
      <c r="AB308" s="4"/>
      <c r="AC308" s="4"/>
      <c r="AD308" s="4"/>
    </row>
    <row r="309" spans="1:30" ht="14.25" customHeight="1">
      <c r="A309" s="768"/>
      <c r="B309" s="4"/>
      <c r="C309" s="768" t="s">
        <v>1885</v>
      </c>
      <c r="D309" s="508"/>
      <c r="E309" s="580" t="s">
        <v>2239</v>
      </c>
      <c r="F309" s="581"/>
      <c r="G309" s="508"/>
      <c r="H309" s="508"/>
      <c r="I309" s="579">
        <v>0</v>
      </c>
      <c r="J309" s="579">
        <v>0</v>
      </c>
      <c r="K309" s="500"/>
      <c r="L309" s="560"/>
      <c r="M309" s="572"/>
      <c r="N309" s="67"/>
      <c r="O309" s="67"/>
      <c r="P309" s="67"/>
      <c r="Q309" s="67"/>
      <c r="R309" s="67"/>
      <c r="S309" s="67"/>
      <c r="T309" s="67"/>
      <c r="U309" s="67"/>
      <c r="V309" s="67"/>
      <c r="W309" s="67"/>
      <c r="X309" s="67"/>
      <c r="Y309" s="67"/>
      <c r="Z309" s="67"/>
      <c r="AA309" s="4"/>
      <c r="AB309" s="4"/>
      <c r="AC309" s="4"/>
      <c r="AD309" s="4"/>
    </row>
    <row r="310" spans="1:30" ht="14.25" customHeight="1">
      <c r="A310" s="768"/>
      <c r="B310" s="4"/>
      <c r="C310" s="768" t="s">
        <v>1885</v>
      </c>
      <c r="D310" s="508" t="s">
        <v>1862</v>
      </c>
      <c r="E310" s="508" t="s">
        <v>2240</v>
      </c>
      <c r="F310" s="577" t="s">
        <v>2194</v>
      </c>
      <c r="G310" s="508">
        <v>7000</v>
      </c>
      <c r="H310" s="508">
        <v>1</v>
      </c>
      <c r="I310" s="579">
        <v>7000</v>
      </c>
      <c r="J310" s="579">
        <v>274.13917850278887</v>
      </c>
      <c r="K310" s="500"/>
      <c r="L310" s="560"/>
      <c r="M310" s="572"/>
      <c r="N310" s="67"/>
      <c r="O310" s="67"/>
      <c r="P310" s="67"/>
      <c r="Q310" s="67"/>
      <c r="R310" s="67"/>
      <c r="S310" s="67"/>
      <c r="T310" s="67"/>
      <c r="U310" s="67"/>
      <c r="V310" s="67"/>
      <c r="W310" s="67"/>
      <c r="X310" s="67"/>
      <c r="Y310" s="67"/>
      <c r="Z310" s="67"/>
      <c r="AA310" s="4"/>
      <c r="AB310" s="4"/>
      <c r="AC310" s="4"/>
      <c r="AD310" s="4"/>
    </row>
    <row r="311" spans="1:30" ht="14.25" customHeight="1">
      <c r="A311" s="768"/>
      <c r="B311" s="4"/>
      <c r="C311" s="768" t="s">
        <v>1885</v>
      </c>
      <c r="D311" s="508" t="s">
        <v>1392</v>
      </c>
      <c r="E311" s="508" t="s">
        <v>2241</v>
      </c>
      <c r="F311" s="577" t="s">
        <v>2194</v>
      </c>
      <c r="G311" s="508">
        <v>9000</v>
      </c>
      <c r="H311" s="508">
        <v>1</v>
      </c>
      <c r="I311" s="579">
        <v>9000</v>
      </c>
      <c r="J311" s="579">
        <v>352.46465807501426</v>
      </c>
      <c r="K311" s="500"/>
      <c r="L311" s="560"/>
      <c r="M311" s="572"/>
      <c r="N311" s="67"/>
      <c r="O311" s="67"/>
      <c r="P311" s="67"/>
      <c r="Q311" s="67"/>
      <c r="R311" s="67"/>
      <c r="S311" s="67"/>
      <c r="T311" s="67"/>
      <c r="U311" s="67"/>
      <c r="V311" s="67"/>
      <c r="W311" s="67"/>
      <c r="X311" s="67"/>
      <c r="Y311" s="67"/>
      <c r="Z311" s="67"/>
      <c r="AA311" s="4"/>
      <c r="AB311" s="4"/>
      <c r="AC311" s="4"/>
      <c r="AD311" s="4"/>
    </row>
    <row r="312" spans="1:30" ht="14.25" customHeight="1">
      <c r="A312" s="768"/>
      <c r="B312" s="4"/>
      <c r="C312" s="768" t="s">
        <v>1885</v>
      </c>
      <c r="D312" s="508" t="s">
        <v>1862</v>
      </c>
      <c r="E312" s="508" t="s">
        <v>2242</v>
      </c>
      <c r="F312" s="577" t="s">
        <v>2194</v>
      </c>
      <c r="G312" s="508">
        <v>2000</v>
      </c>
      <c r="H312" s="508">
        <v>1</v>
      </c>
      <c r="I312" s="579">
        <v>2000</v>
      </c>
      <c r="J312" s="579">
        <v>78.32547957222539</v>
      </c>
      <c r="K312" s="500"/>
      <c r="L312" s="560"/>
      <c r="M312" s="572"/>
      <c r="N312" s="67"/>
      <c r="O312" s="67"/>
      <c r="P312" s="67"/>
      <c r="Q312" s="67"/>
      <c r="R312" s="67"/>
      <c r="S312" s="67"/>
      <c r="T312" s="67"/>
      <c r="U312" s="67"/>
      <c r="V312" s="67"/>
      <c r="W312" s="67"/>
      <c r="X312" s="67"/>
      <c r="Y312" s="67"/>
      <c r="Z312" s="67"/>
      <c r="AA312" s="4"/>
      <c r="AB312" s="4"/>
      <c r="AC312" s="4"/>
      <c r="AD312" s="4"/>
    </row>
    <row r="313" spans="1:30" ht="14.25" customHeight="1">
      <c r="A313" s="768"/>
      <c r="B313" s="4"/>
      <c r="C313" s="768" t="s">
        <v>1885</v>
      </c>
      <c r="D313" s="508" t="s">
        <v>1392</v>
      </c>
      <c r="E313" s="508" t="s">
        <v>2243</v>
      </c>
      <c r="F313" s="577" t="s">
        <v>2194</v>
      </c>
      <c r="G313" s="508">
        <v>2000</v>
      </c>
      <c r="H313" s="508">
        <v>1</v>
      </c>
      <c r="I313" s="579">
        <v>2000</v>
      </c>
      <c r="J313" s="579">
        <v>78.32547957222539</v>
      </c>
      <c r="K313" s="500"/>
      <c r="L313" s="560"/>
      <c r="M313" s="572"/>
      <c r="N313" s="67"/>
      <c r="O313" s="67"/>
      <c r="P313" s="67"/>
      <c r="Q313" s="67"/>
      <c r="R313" s="67"/>
      <c r="S313" s="67"/>
      <c r="T313" s="67"/>
      <c r="U313" s="67"/>
      <c r="V313" s="67"/>
      <c r="W313" s="67"/>
      <c r="X313" s="67"/>
      <c r="Y313" s="67"/>
      <c r="Z313" s="67"/>
      <c r="AA313" s="4"/>
      <c r="AB313" s="4"/>
      <c r="AC313" s="4"/>
      <c r="AD313" s="4"/>
    </row>
    <row r="314" spans="1:30" ht="14.25" customHeight="1">
      <c r="A314" s="768"/>
      <c r="B314" s="4"/>
      <c r="C314" s="768" t="s">
        <v>1885</v>
      </c>
      <c r="D314" s="508" t="s">
        <v>1862</v>
      </c>
      <c r="E314" s="508" t="s">
        <v>2244</v>
      </c>
      <c r="F314" s="577" t="s">
        <v>2194</v>
      </c>
      <c r="G314" s="508">
        <v>2500</v>
      </c>
      <c r="H314" s="508">
        <v>1</v>
      </c>
      <c r="I314" s="579">
        <v>2500</v>
      </c>
      <c r="J314" s="579">
        <v>97.906849465281738</v>
      </c>
      <c r="K314" s="500"/>
      <c r="L314" s="560"/>
      <c r="M314" s="572"/>
      <c r="N314" s="67"/>
      <c r="O314" s="67"/>
      <c r="P314" s="67"/>
      <c r="Q314" s="67"/>
      <c r="R314" s="67"/>
      <c r="S314" s="67"/>
      <c r="T314" s="67"/>
      <c r="U314" s="67"/>
      <c r="V314" s="67"/>
      <c r="W314" s="67"/>
      <c r="X314" s="67"/>
      <c r="Y314" s="67"/>
      <c r="Z314" s="67"/>
      <c r="AA314" s="4"/>
      <c r="AB314" s="4"/>
      <c r="AC314" s="4"/>
      <c r="AD314" s="4"/>
    </row>
    <row r="315" spans="1:30" ht="14.25" customHeight="1">
      <c r="A315" s="768"/>
      <c r="B315" s="4"/>
      <c r="C315" s="768" t="s">
        <v>1885</v>
      </c>
      <c r="D315" s="508" t="s">
        <v>1862</v>
      </c>
      <c r="E315" s="508" t="s">
        <v>2205</v>
      </c>
      <c r="F315" s="577" t="s">
        <v>2194</v>
      </c>
      <c r="G315" s="508">
        <v>500</v>
      </c>
      <c r="H315" s="508">
        <v>4</v>
      </c>
      <c r="I315" s="579">
        <v>2000</v>
      </c>
      <c r="J315" s="579">
        <v>78.32547957222539</v>
      </c>
      <c r="K315" s="500"/>
      <c r="L315" s="560"/>
      <c r="M315" s="572"/>
      <c r="N315" s="67"/>
      <c r="O315" s="67"/>
      <c r="P315" s="67"/>
      <c r="Q315" s="67"/>
      <c r="R315" s="67"/>
      <c r="S315" s="67"/>
      <c r="T315" s="67"/>
      <c r="U315" s="67"/>
      <c r="V315" s="67"/>
      <c r="W315" s="67"/>
      <c r="X315" s="67"/>
      <c r="Y315" s="67"/>
      <c r="Z315" s="67"/>
      <c r="AA315" s="4"/>
      <c r="AB315" s="4"/>
      <c r="AC315" s="4"/>
      <c r="AD315" s="4"/>
    </row>
    <row r="316" spans="1:30" ht="14.25" customHeight="1">
      <c r="A316" s="768"/>
      <c r="B316" s="4"/>
      <c r="C316" s="768" t="s">
        <v>1885</v>
      </c>
      <c r="D316" s="508" t="s">
        <v>1862</v>
      </c>
      <c r="E316" s="508" t="s">
        <v>2245</v>
      </c>
      <c r="F316" s="577" t="s">
        <v>2194</v>
      </c>
      <c r="G316" s="508">
        <v>1500</v>
      </c>
      <c r="H316" s="508">
        <v>1</v>
      </c>
      <c r="I316" s="579">
        <v>1500</v>
      </c>
      <c r="J316" s="579">
        <v>58.744109679169043</v>
      </c>
      <c r="K316" s="500"/>
      <c r="L316" s="560"/>
      <c r="M316" s="572"/>
      <c r="N316" s="67"/>
      <c r="O316" s="67"/>
      <c r="P316" s="67"/>
      <c r="Q316" s="67"/>
      <c r="R316" s="67"/>
      <c r="S316" s="67"/>
      <c r="T316" s="67"/>
      <c r="U316" s="67"/>
      <c r="V316" s="67"/>
      <c r="W316" s="67"/>
      <c r="X316" s="67"/>
      <c r="Y316" s="67"/>
      <c r="Z316" s="67"/>
      <c r="AA316" s="4"/>
      <c r="AB316" s="4"/>
      <c r="AC316" s="4"/>
      <c r="AD316" s="4"/>
    </row>
    <row r="317" spans="1:30" ht="14.25" customHeight="1">
      <c r="A317" s="768"/>
      <c r="B317" s="4"/>
      <c r="C317" s="768" t="s">
        <v>1885</v>
      </c>
      <c r="D317" s="508" t="s">
        <v>1862</v>
      </c>
      <c r="E317" s="508" t="s">
        <v>2246</v>
      </c>
      <c r="F317" s="577" t="s">
        <v>2194</v>
      </c>
      <c r="G317" s="508">
        <v>6000</v>
      </c>
      <c r="H317" s="508">
        <v>1</v>
      </c>
      <c r="I317" s="579">
        <v>6000</v>
      </c>
      <c r="J317" s="579">
        <v>234.97643871667617</v>
      </c>
      <c r="K317" s="500"/>
      <c r="L317" s="560"/>
      <c r="M317" s="572"/>
      <c r="N317" s="67"/>
      <c r="O317" s="67"/>
      <c r="P317" s="67"/>
      <c r="Q317" s="67"/>
      <c r="R317" s="67"/>
      <c r="S317" s="67"/>
      <c r="T317" s="67"/>
      <c r="U317" s="67"/>
      <c r="V317" s="67"/>
      <c r="W317" s="67"/>
      <c r="X317" s="67"/>
      <c r="Y317" s="67"/>
      <c r="Z317" s="67"/>
      <c r="AA317" s="4"/>
      <c r="AB317" s="4"/>
      <c r="AC317" s="4"/>
      <c r="AD317" s="4"/>
    </row>
    <row r="318" spans="1:30" ht="14.25" customHeight="1">
      <c r="A318" s="768"/>
      <c r="B318" s="4"/>
      <c r="C318" s="768" t="s">
        <v>1885</v>
      </c>
      <c r="D318" s="508"/>
      <c r="E318" s="580" t="s">
        <v>2247</v>
      </c>
      <c r="F318" s="581"/>
      <c r="G318" s="508"/>
      <c r="H318" s="508"/>
      <c r="I318" s="579">
        <v>0</v>
      </c>
      <c r="J318" s="579">
        <v>0</v>
      </c>
      <c r="K318" s="500"/>
      <c r="L318" s="560"/>
      <c r="M318" s="572"/>
      <c r="N318" s="67"/>
      <c r="O318" s="67"/>
      <c r="P318" s="67"/>
      <c r="Q318" s="67"/>
      <c r="R318" s="67"/>
      <c r="S318" s="67"/>
      <c r="T318" s="67"/>
      <c r="U318" s="67"/>
      <c r="V318" s="67"/>
      <c r="W318" s="67"/>
      <c r="X318" s="67"/>
      <c r="Y318" s="67"/>
      <c r="Z318" s="67"/>
      <c r="AA318" s="4"/>
      <c r="AB318" s="4"/>
      <c r="AC318" s="4"/>
      <c r="AD318" s="4"/>
    </row>
    <row r="319" spans="1:30" ht="14.25" customHeight="1">
      <c r="A319" s="768"/>
      <c r="B319" s="4"/>
      <c r="C319" s="768" t="s">
        <v>1885</v>
      </c>
      <c r="D319" s="508" t="s">
        <v>1862</v>
      </c>
      <c r="E319" s="508" t="s">
        <v>2278</v>
      </c>
      <c r="F319" s="577" t="s">
        <v>2194</v>
      </c>
      <c r="G319" s="508">
        <v>1200</v>
      </c>
      <c r="H319" s="508">
        <v>4</v>
      </c>
      <c r="I319" s="579">
        <v>4800</v>
      </c>
      <c r="J319" s="579">
        <v>187.98115097334093</v>
      </c>
      <c r="K319" s="500"/>
      <c r="L319" s="560"/>
      <c r="M319" s="572"/>
      <c r="N319" s="67"/>
      <c r="O319" s="67"/>
      <c r="P319" s="67"/>
      <c r="Q319" s="67"/>
      <c r="R319" s="67"/>
      <c r="S319" s="67"/>
      <c r="T319" s="67"/>
      <c r="U319" s="67"/>
      <c r="V319" s="67"/>
      <c r="W319" s="67"/>
      <c r="X319" s="67"/>
      <c r="Y319" s="67"/>
      <c r="Z319" s="67"/>
      <c r="AA319" s="4"/>
      <c r="AB319" s="4"/>
      <c r="AC319" s="4"/>
      <c r="AD319" s="4"/>
    </row>
    <row r="320" spans="1:30" ht="14.25" customHeight="1">
      <c r="A320" s="768"/>
      <c r="B320" s="4"/>
      <c r="C320" s="768" t="s">
        <v>1885</v>
      </c>
      <c r="D320" s="508" t="s">
        <v>1862</v>
      </c>
      <c r="E320" s="508" t="s">
        <v>2279</v>
      </c>
      <c r="F320" s="577" t="s">
        <v>2194</v>
      </c>
      <c r="G320" s="508">
        <v>400</v>
      </c>
      <c r="H320" s="508">
        <v>4</v>
      </c>
      <c r="I320" s="579">
        <v>1600</v>
      </c>
      <c r="J320" s="579">
        <v>62.660383657780315</v>
      </c>
      <c r="K320" s="500"/>
      <c r="L320" s="560"/>
      <c r="M320" s="572"/>
      <c r="N320" s="67"/>
      <c r="O320" s="67"/>
      <c r="P320" s="67"/>
      <c r="Q320" s="67"/>
      <c r="R320" s="67"/>
      <c r="S320" s="67"/>
      <c r="T320" s="67"/>
      <c r="U320" s="67"/>
      <c r="V320" s="67"/>
      <c r="W320" s="67"/>
      <c r="X320" s="67"/>
      <c r="Y320" s="67"/>
      <c r="Z320" s="67"/>
      <c r="AA320" s="4"/>
      <c r="AB320" s="4"/>
      <c r="AC320" s="4"/>
      <c r="AD320" s="4"/>
    </row>
    <row r="321" spans="1:30" ht="14.25" customHeight="1">
      <c r="A321" s="768"/>
      <c r="B321" s="4"/>
      <c r="C321" s="768" t="s">
        <v>1885</v>
      </c>
      <c r="D321" s="508" t="s">
        <v>1862</v>
      </c>
      <c r="E321" s="508" t="s">
        <v>2280</v>
      </c>
      <c r="F321" s="577" t="s">
        <v>2194</v>
      </c>
      <c r="G321" s="508">
        <v>1500</v>
      </c>
      <c r="H321" s="508">
        <v>4</v>
      </c>
      <c r="I321" s="579">
        <v>6000</v>
      </c>
      <c r="J321" s="579">
        <v>234.97643871667617</v>
      </c>
      <c r="K321" s="500"/>
      <c r="L321" s="560"/>
      <c r="M321" s="572"/>
      <c r="N321" s="67"/>
      <c r="O321" s="67"/>
      <c r="P321" s="67"/>
      <c r="Q321" s="67"/>
      <c r="R321" s="67"/>
      <c r="S321" s="67"/>
      <c r="T321" s="67"/>
      <c r="U321" s="67"/>
      <c r="V321" s="67"/>
      <c r="W321" s="67"/>
      <c r="X321" s="67"/>
      <c r="Y321" s="67"/>
      <c r="Z321" s="67"/>
      <c r="AA321" s="4"/>
      <c r="AB321" s="4"/>
      <c r="AC321" s="4"/>
      <c r="AD321" s="4"/>
    </row>
    <row r="322" spans="1:30" ht="14.25" customHeight="1">
      <c r="A322" s="768"/>
      <c r="B322" s="4"/>
      <c r="C322" s="768" t="s">
        <v>1885</v>
      </c>
      <c r="D322" s="508" t="s">
        <v>1862</v>
      </c>
      <c r="E322" s="508" t="s">
        <v>2281</v>
      </c>
      <c r="F322" s="577" t="s">
        <v>2194</v>
      </c>
      <c r="G322" s="508">
        <v>500</v>
      </c>
      <c r="H322" s="508">
        <v>4</v>
      </c>
      <c r="I322" s="579">
        <v>2000</v>
      </c>
      <c r="J322" s="579">
        <v>78.32547957222539</v>
      </c>
      <c r="K322" s="500"/>
      <c r="L322" s="560"/>
      <c r="M322" s="572"/>
      <c r="N322" s="67"/>
      <c r="O322" s="67"/>
      <c r="P322" s="67"/>
      <c r="Q322" s="67"/>
      <c r="R322" s="67"/>
      <c r="S322" s="67"/>
      <c r="T322" s="67"/>
      <c r="U322" s="67"/>
      <c r="V322" s="67"/>
      <c r="W322" s="67"/>
      <c r="X322" s="67"/>
      <c r="Y322" s="67"/>
      <c r="Z322" s="67"/>
      <c r="AA322" s="4"/>
      <c r="AB322" s="4"/>
      <c r="AC322" s="4"/>
      <c r="AD322" s="4"/>
    </row>
    <row r="323" spans="1:30" ht="14.25" customHeight="1">
      <c r="A323" s="768"/>
      <c r="B323" s="4"/>
      <c r="C323" s="768" t="s">
        <v>1885</v>
      </c>
      <c r="D323" s="508" t="s">
        <v>1862</v>
      </c>
      <c r="E323" s="508" t="s">
        <v>2282</v>
      </c>
      <c r="F323" s="577" t="s">
        <v>2213</v>
      </c>
      <c r="G323" s="508">
        <v>1600</v>
      </c>
      <c r="H323" s="508">
        <v>4</v>
      </c>
      <c r="I323" s="579">
        <v>6400</v>
      </c>
      <c r="J323" s="579">
        <v>250.64153463112126</v>
      </c>
      <c r="K323" s="500"/>
      <c r="L323" s="560"/>
      <c r="M323" s="572"/>
      <c r="N323" s="67"/>
      <c r="O323" s="67"/>
      <c r="P323" s="67"/>
      <c r="Q323" s="67"/>
      <c r="R323" s="67"/>
      <c r="S323" s="67"/>
      <c r="T323" s="67"/>
      <c r="U323" s="67"/>
      <c r="V323" s="67"/>
      <c r="W323" s="67"/>
      <c r="X323" s="67"/>
      <c r="Y323" s="67"/>
      <c r="Z323" s="67"/>
      <c r="AA323" s="4"/>
      <c r="AB323" s="4"/>
      <c r="AC323" s="4"/>
      <c r="AD323" s="4"/>
    </row>
    <row r="324" spans="1:30" ht="14.25" customHeight="1">
      <c r="A324" s="768"/>
      <c r="B324" s="4"/>
      <c r="C324" s="768" t="s">
        <v>1885</v>
      </c>
      <c r="D324" s="508" t="s">
        <v>1862</v>
      </c>
      <c r="E324" s="508" t="s">
        <v>2283</v>
      </c>
      <c r="F324" s="577" t="s">
        <v>2213</v>
      </c>
      <c r="G324" s="508">
        <v>1000</v>
      </c>
      <c r="H324" s="508">
        <v>4</v>
      </c>
      <c r="I324" s="579">
        <v>4000</v>
      </c>
      <c r="J324" s="579">
        <v>156.65095914445078</v>
      </c>
      <c r="K324" s="500"/>
      <c r="L324" s="560"/>
      <c r="M324" s="572"/>
      <c r="N324" s="67"/>
      <c r="O324" s="67"/>
      <c r="P324" s="67"/>
      <c r="Q324" s="67"/>
      <c r="R324" s="67"/>
      <c r="S324" s="67"/>
      <c r="T324" s="67"/>
      <c r="U324" s="67"/>
      <c r="V324" s="67"/>
      <c r="W324" s="67"/>
      <c r="X324" s="67"/>
      <c r="Y324" s="67"/>
      <c r="Z324" s="67"/>
      <c r="AA324" s="4"/>
      <c r="AB324" s="4"/>
      <c r="AC324" s="4"/>
      <c r="AD324" s="4"/>
    </row>
    <row r="325" spans="1:30" ht="14.25" customHeight="1">
      <c r="A325" s="768"/>
      <c r="B325" s="4"/>
      <c r="C325" s="768" t="s">
        <v>1885</v>
      </c>
      <c r="D325" s="508" t="s">
        <v>1862</v>
      </c>
      <c r="E325" s="582" t="s">
        <v>2284</v>
      </c>
      <c r="F325" s="577" t="s">
        <v>2213</v>
      </c>
      <c r="G325" s="508">
        <v>200</v>
      </c>
      <c r="H325" s="508">
        <v>4</v>
      </c>
      <c r="I325" s="579">
        <v>800</v>
      </c>
      <c r="J325" s="579">
        <v>31.330191828890158</v>
      </c>
      <c r="K325" s="500"/>
      <c r="L325" s="560"/>
      <c r="M325" s="572"/>
      <c r="N325" s="67"/>
      <c r="O325" s="67"/>
      <c r="P325" s="67"/>
      <c r="Q325" s="67"/>
      <c r="R325" s="67"/>
      <c r="S325" s="67"/>
      <c r="T325" s="67"/>
      <c r="U325" s="67"/>
      <c r="V325" s="67"/>
      <c r="W325" s="67"/>
      <c r="X325" s="67"/>
      <c r="Y325" s="67"/>
      <c r="Z325" s="67"/>
      <c r="AA325" s="4"/>
      <c r="AB325" s="4"/>
      <c r="AC325" s="4"/>
      <c r="AD325" s="4"/>
    </row>
    <row r="326" spans="1:30" ht="14.25" customHeight="1">
      <c r="A326" s="768"/>
      <c r="B326" s="4"/>
      <c r="C326" s="768" t="s">
        <v>1885</v>
      </c>
      <c r="D326" s="508" t="s">
        <v>1862</v>
      </c>
      <c r="E326" s="582" t="s">
        <v>2285</v>
      </c>
      <c r="F326" s="577" t="s">
        <v>2213</v>
      </c>
      <c r="G326" s="508">
        <v>100</v>
      </c>
      <c r="H326" s="508">
        <v>4</v>
      </c>
      <c r="I326" s="579">
        <v>400</v>
      </c>
      <c r="J326" s="579">
        <v>15.665095914445079</v>
      </c>
      <c r="K326" s="500"/>
      <c r="L326" s="560"/>
      <c r="M326" s="572"/>
      <c r="N326" s="67"/>
      <c r="O326" s="67"/>
      <c r="P326" s="67"/>
      <c r="Q326" s="67"/>
      <c r="R326" s="67"/>
      <c r="S326" s="67"/>
      <c r="T326" s="67"/>
      <c r="U326" s="67"/>
      <c r="V326" s="67"/>
      <c r="W326" s="67"/>
      <c r="X326" s="67"/>
      <c r="Y326" s="67"/>
      <c r="Z326" s="67"/>
      <c r="AA326" s="4"/>
      <c r="AB326" s="4"/>
      <c r="AC326" s="4"/>
      <c r="AD326" s="4"/>
    </row>
    <row r="327" spans="1:30" ht="14.25" customHeight="1">
      <c r="A327" s="768"/>
      <c r="B327" s="4"/>
      <c r="C327" s="768" t="s">
        <v>1885</v>
      </c>
      <c r="D327" s="508"/>
      <c r="E327" s="580" t="s">
        <v>2257</v>
      </c>
      <c r="F327" s="581"/>
      <c r="G327" s="508"/>
      <c r="H327" s="508"/>
      <c r="I327" s="579">
        <v>0</v>
      </c>
      <c r="J327" s="579">
        <v>0</v>
      </c>
      <c r="K327" s="500"/>
      <c r="L327" s="560"/>
      <c r="M327" s="572"/>
      <c r="N327" s="67"/>
      <c r="O327" s="67"/>
      <c r="P327" s="67"/>
      <c r="Q327" s="67"/>
      <c r="R327" s="67"/>
      <c r="S327" s="67"/>
      <c r="T327" s="67"/>
      <c r="U327" s="67"/>
      <c r="V327" s="67"/>
      <c r="W327" s="67"/>
      <c r="X327" s="67"/>
      <c r="Y327" s="67"/>
      <c r="Z327" s="67"/>
      <c r="AA327" s="4"/>
      <c r="AB327" s="4"/>
      <c r="AC327" s="4"/>
      <c r="AD327" s="4"/>
    </row>
    <row r="328" spans="1:30" ht="14.25" customHeight="1">
      <c r="A328" s="768"/>
      <c r="B328" s="4"/>
      <c r="C328" s="768" t="s">
        <v>1885</v>
      </c>
      <c r="D328" s="508" t="s">
        <v>1862</v>
      </c>
      <c r="E328" s="508" t="s">
        <v>2258</v>
      </c>
      <c r="F328" s="577" t="s">
        <v>2194</v>
      </c>
      <c r="G328" s="508">
        <v>3000</v>
      </c>
      <c r="H328" s="508">
        <v>4</v>
      </c>
      <c r="I328" s="579">
        <v>12000</v>
      </c>
      <c r="J328" s="579">
        <v>469.95287743335234</v>
      </c>
      <c r="K328" s="500"/>
      <c r="L328" s="560"/>
      <c r="M328" s="572"/>
      <c r="N328" s="67"/>
      <c r="O328" s="67"/>
      <c r="P328" s="67"/>
      <c r="Q328" s="67"/>
      <c r="R328" s="67"/>
      <c r="S328" s="67"/>
      <c r="T328" s="67"/>
      <c r="U328" s="67"/>
      <c r="V328" s="67"/>
      <c r="W328" s="67"/>
      <c r="X328" s="67"/>
      <c r="Y328" s="67"/>
      <c r="Z328" s="67"/>
      <c r="AA328" s="4"/>
      <c r="AB328" s="4"/>
      <c r="AC328" s="4"/>
      <c r="AD328" s="4"/>
    </row>
    <row r="329" spans="1:30" ht="14.25" customHeight="1">
      <c r="A329" s="768"/>
      <c r="B329" s="4"/>
      <c r="C329" s="768" t="s">
        <v>1885</v>
      </c>
      <c r="D329" s="508" t="s">
        <v>1862</v>
      </c>
      <c r="E329" s="508" t="s">
        <v>2205</v>
      </c>
      <c r="F329" s="577" t="s">
        <v>2194</v>
      </c>
      <c r="G329" s="508">
        <v>2000</v>
      </c>
      <c r="H329" s="508">
        <v>4</v>
      </c>
      <c r="I329" s="579">
        <v>8000</v>
      </c>
      <c r="J329" s="579">
        <v>313.30191828890156</v>
      </c>
      <c r="K329" s="500"/>
      <c r="L329" s="560"/>
      <c r="M329" s="572"/>
      <c r="N329" s="67"/>
      <c r="O329" s="67"/>
      <c r="P329" s="67"/>
      <c r="Q329" s="67"/>
      <c r="R329" s="67"/>
      <c r="S329" s="67"/>
      <c r="T329" s="67"/>
      <c r="U329" s="67"/>
      <c r="V329" s="67"/>
      <c r="W329" s="67"/>
      <c r="X329" s="67"/>
      <c r="Y329" s="67"/>
      <c r="Z329" s="67"/>
      <c r="AA329" s="4"/>
      <c r="AB329" s="4"/>
      <c r="AC329" s="4"/>
      <c r="AD329" s="4"/>
    </row>
    <row r="330" spans="1:30" ht="14.25" customHeight="1">
      <c r="A330" s="768"/>
      <c r="B330" s="4"/>
      <c r="C330" s="768" t="s">
        <v>1885</v>
      </c>
      <c r="D330" s="508" t="s">
        <v>1862</v>
      </c>
      <c r="E330" s="508" t="s">
        <v>2259</v>
      </c>
      <c r="F330" s="577" t="s">
        <v>2194</v>
      </c>
      <c r="G330" s="508">
        <v>2500</v>
      </c>
      <c r="H330" s="508">
        <v>1</v>
      </c>
      <c r="I330" s="579">
        <v>2500</v>
      </c>
      <c r="J330" s="579">
        <v>97.906849465281738</v>
      </c>
      <c r="K330" s="500"/>
      <c r="L330" s="560"/>
      <c r="M330" s="572"/>
      <c r="N330" s="67"/>
      <c r="O330" s="67"/>
      <c r="P330" s="67"/>
      <c r="Q330" s="67"/>
      <c r="R330" s="67"/>
      <c r="S330" s="67"/>
      <c r="T330" s="67"/>
      <c r="U330" s="67"/>
      <c r="V330" s="67"/>
      <c r="W330" s="67"/>
      <c r="X330" s="67"/>
      <c r="Y330" s="67"/>
      <c r="Z330" s="67"/>
      <c r="AA330" s="4"/>
      <c r="AB330" s="4"/>
      <c r="AC330" s="4"/>
      <c r="AD330" s="4"/>
    </row>
    <row r="331" spans="1:30" ht="14.25" customHeight="1">
      <c r="A331" s="768"/>
      <c r="B331" s="4"/>
      <c r="C331" s="768" t="s">
        <v>1885</v>
      </c>
      <c r="D331" s="508" t="s">
        <v>1862</v>
      </c>
      <c r="E331" s="508" t="s">
        <v>2260</v>
      </c>
      <c r="F331" s="577" t="s">
        <v>2194</v>
      </c>
      <c r="G331" s="508">
        <v>4500</v>
      </c>
      <c r="H331" s="508">
        <v>1</v>
      </c>
      <c r="I331" s="579">
        <v>4500</v>
      </c>
      <c r="J331" s="579">
        <v>176.23232903750713</v>
      </c>
      <c r="K331" s="500"/>
      <c r="L331" s="560"/>
      <c r="M331" s="572"/>
      <c r="N331" s="67"/>
      <c r="O331" s="67"/>
      <c r="P331" s="67"/>
      <c r="Q331" s="67"/>
      <c r="R331" s="67"/>
      <c r="S331" s="67"/>
      <c r="T331" s="67"/>
      <c r="U331" s="67"/>
      <c r="V331" s="67"/>
      <c r="W331" s="67"/>
      <c r="X331" s="67"/>
      <c r="Y331" s="67"/>
      <c r="Z331" s="67"/>
      <c r="AA331" s="4"/>
      <c r="AB331" s="4"/>
      <c r="AC331" s="4"/>
      <c r="AD331" s="4"/>
    </row>
    <row r="332" spans="1:30" ht="14.25" customHeight="1">
      <c r="A332" s="768"/>
      <c r="B332" s="4"/>
      <c r="C332" s="768" t="s">
        <v>1885</v>
      </c>
      <c r="D332" s="508" t="s">
        <v>1862</v>
      </c>
      <c r="E332" s="508" t="s">
        <v>2261</v>
      </c>
      <c r="F332" s="577" t="s">
        <v>2194</v>
      </c>
      <c r="G332" s="508">
        <v>4000</v>
      </c>
      <c r="H332" s="508">
        <v>1</v>
      </c>
      <c r="I332" s="579">
        <v>4000</v>
      </c>
      <c r="J332" s="579">
        <v>156.65095914445078</v>
      </c>
      <c r="K332" s="500"/>
      <c r="L332" s="560"/>
      <c r="M332" s="572"/>
      <c r="N332" s="67"/>
      <c r="O332" s="67"/>
      <c r="P332" s="67"/>
      <c r="Q332" s="67"/>
      <c r="R332" s="67"/>
      <c r="S332" s="67"/>
      <c r="T332" s="67"/>
      <c r="U332" s="67"/>
      <c r="V332" s="67"/>
      <c r="W332" s="67"/>
      <c r="X332" s="67"/>
      <c r="Y332" s="67"/>
      <c r="Z332" s="67"/>
      <c r="AA332" s="4"/>
      <c r="AB332" s="4"/>
      <c r="AC332" s="4"/>
      <c r="AD332" s="4"/>
    </row>
    <row r="333" spans="1:30" ht="14.25" customHeight="1">
      <c r="A333" s="768"/>
      <c r="B333" s="4"/>
      <c r="C333" s="768" t="s">
        <v>1885</v>
      </c>
      <c r="D333" s="508" t="s">
        <v>1392</v>
      </c>
      <c r="E333" s="508" t="s">
        <v>2262</v>
      </c>
      <c r="F333" s="577" t="s">
        <v>2194</v>
      </c>
      <c r="G333" s="508">
        <v>1000</v>
      </c>
      <c r="H333" s="508">
        <v>1</v>
      </c>
      <c r="I333" s="579">
        <v>1000</v>
      </c>
      <c r="J333" s="579">
        <v>39.162739786112695</v>
      </c>
      <c r="K333" s="500"/>
      <c r="L333" s="560"/>
      <c r="M333" s="572"/>
      <c r="N333" s="67"/>
      <c r="O333" s="67"/>
      <c r="P333" s="67"/>
      <c r="Q333" s="67"/>
      <c r="R333" s="67"/>
      <c r="S333" s="67"/>
      <c r="T333" s="67"/>
      <c r="U333" s="67"/>
      <c r="V333" s="67"/>
      <c r="W333" s="67"/>
      <c r="X333" s="67"/>
      <c r="Y333" s="67"/>
      <c r="Z333" s="67"/>
      <c r="AA333" s="4"/>
      <c r="AB333" s="4"/>
      <c r="AC333" s="4"/>
      <c r="AD333" s="4"/>
    </row>
    <row r="334" spans="1:30" ht="14.25" customHeight="1">
      <c r="A334" s="768"/>
      <c r="B334" s="4"/>
      <c r="C334" s="768" t="s">
        <v>1885</v>
      </c>
      <c r="D334" s="508" t="s">
        <v>1392</v>
      </c>
      <c r="E334" s="582" t="s">
        <v>2263</v>
      </c>
      <c r="F334" s="577" t="s">
        <v>2194</v>
      </c>
      <c r="G334" s="508">
        <v>6500</v>
      </c>
      <c r="H334" s="508">
        <v>1</v>
      </c>
      <c r="I334" s="579">
        <v>6500</v>
      </c>
      <c r="J334" s="579">
        <v>254.55780860973252</v>
      </c>
      <c r="K334" s="500"/>
      <c r="L334" s="560"/>
      <c r="M334" s="572"/>
      <c r="N334" s="67"/>
      <c r="O334" s="67"/>
      <c r="P334" s="67"/>
      <c r="Q334" s="67"/>
      <c r="R334" s="67"/>
      <c r="S334" s="67"/>
      <c r="T334" s="67"/>
      <c r="U334" s="67"/>
      <c r="V334" s="67"/>
      <c r="W334" s="67"/>
      <c r="X334" s="67"/>
      <c r="Y334" s="67"/>
      <c r="Z334" s="67"/>
      <c r="AA334" s="4"/>
      <c r="AB334" s="4"/>
      <c r="AC334" s="4"/>
      <c r="AD334" s="4"/>
    </row>
    <row r="335" spans="1:30" ht="14.25" customHeight="1">
      <c r="A335" s="768"/>
      <c r="B335" s="4"/>
      <c r="C335" s="768" t="s">
        <v>1885</v>
      </c>
      <c r="D335" s="508" t="s">
        <v>1392</v>
      </c>
      <c r="E335" s="508" t="s">
        <v>2264</v>
      </c>
      <c r="F335" s="577" t="s">
        <v>2194</v>
      </c>
      <c r="G335" s="508">
        <v>20000</v>
      </c>
      <c r="H335" s="508">
        <v>4</v>
      </c>
      <c r="I335" s="579">
        <v>80000</v>
      </c>
      <c r="J335" s="579">
        <v>3133.0191828890156</v>
      </c>
      <c r="K335" s="500"/>
      <c r="L335" s="560"/>
      <c r="M335" s="572"/>
      <c r="N335" s="67"/>
      <c r="O335" s="67"/>
      <c r="P335" s="67"/>
      <c r="Q335" s="67"/>
      <c r="R335" s="67"/>
      <c r="S335" s="67"/>
      <c r="T335" s="67"/>
      <c r="U335" s="67"/>
      <c r="V335" s="67"/>
      <c r="W335" s="67"/>
      <c r="X335" s="67"/>
      <c r="Y335" s="67"/>
      <c r="Z335" s="67"/>
      <c r="AA335" s="4"/>
      <c r="AB335" s="4"/>
      <c r="AC335" s="4"/>
      <c r="AD335" s="4"/>
    </row>
    <row r="336" spans="1:30" ht="14.25" customHeight="1">
      <c r="A336" s="768"/>
      <c r="B336" s="4"/>
      <c r="C336" s="768" t="s">
        <v>1885</v>
      </c>
      <c r="D336" s="508" t="s">
        <v>1392</v>
      </c>
      <c r="E336" s="508" t="s">
        <v>2286</v>
      </c>
      <c r="F336" s="577" t="s">
        <v>2194</v>
      </c>
      <c r="G336" s="508">
        <v>10000</v>
      </c>
      <c r="H336" s="508">
        <v>1</v>
      </c>
      <c r="I336" s="579">
        <v>10000</v>
      </c>
      <c r="J336" s="579">
        <v>391.62739786112695</v>
      </c>
      <c r="K336" s="500"/>
      <c r="L336" s="560"/>
      <c r="M336" s="572"/>
      <c r="N336" s="67"/>
      <c r="O336" s="67"/>
      <c r="P336" s="67"/>
      <c r="Q336" s="67"/>
      <c r="R336" s="67"/>
      <c r="S336" s="67"/>
      <c r="T336" s="67"/>
      <c r="U336" s="67"/>
      <c r="V336" s="67"/>
      <c r="W336" s="67"/>
      <c r="X336" s="67"/>
      <c r="Y336" s="67"/>
      <c r="Z336" s="67"/>
      <c r="AA336" s="4"/>
      <c r="AB336" s="4"/>
      <c r="AC336" s="4"/>
      <c r="AD336" s="4"/>
    </row>
    <row r="337" spans="1:30" ht="14.25" customHeight="1">
      <c r="A337" s="768"/>
      <c r="B337" s="4"/>
      <c r="C337" s="768" t="s">
        <v>1885</v>
      </c>
      <c r="D337" s="508"/>
      <c r="E337" s="580" t="s">
        <v>2266</v>
      </c>
      <c r="F337" s="581"/>
      <c r="G337" s="508"/>
      <c r="H337" s="508"/>
      <c r="I337" s="579">
        <v>0</v>
      </c>
      <c r="J337" s="579">
        <v>0</v>
      </c>
      <c r="K337" s="500"/>
      <c r="L337" s="560"/>
      <c r="M337" s="572"/>
      <c r="N337" s="67"/>
      <c r="O337" s="67"/>
      <c r="P337" s="67"/>
      <c r="Q337" s="67"/>
      <c r="R337" s="67"/>
      <c r="S337" s="67"/>
      <c r="T337" s="67"/>
      <c r="U337" s="67"/>
      <c r="V337" s="67"/>
      <c r="W337" s="67"/>
      <c r="X337" s="67"/>
      <c r="Y337" s="67"/>
      <c r="Z337" s="67"/>
      <c r="AA337" s="4"/>
      <c r="AB337" s="4"/>
      <c r="AC337" s="4"/>
      <c r="AD337" s="4"/>
    </row>
    <row r="338" spans="1:30" ht="14.25" customHeight="1">
      <c r="A338" s="768"/>
      <c r="B338" s="4"/>
      <c r="C338" s="768" t="s">
        <v>1885</v>
      </c>
      <c r="D338" s="508" t="s">
        <v>1862</v>
      </c>
      <c r="E338" s="508" t="s">
        <v>2267</v>
      </c>
      <c r="F338" s="577" t="s">
        <v>2194</v>
      </c>
      <c r="G338" s="508">
        <v>2500</v>
      </c>
      <c r="H338" s="508">
        <v>2</v>
      </c>
      <c r="I338" s="579">
        <v>5000</v>
      </c>
      <c r="J338" s="579">
        <v>195.81369893056348</v>
      </c>
      <c r="K338" s="500"/>
      <c r="L338" s="560"/>
      <c r="M338" s="572"/>
      <c r="N338" s="67"/>
      <c r="O338" s="67"/>
      <c r="P338" s="67"/>
      <c r="Q338" s="67"/>
      <c r="R338" s="67"/>
      <c r="S338" s="67"/>
      <c r="T338" s="67"/>
      <c r="U338" s="67"/>
      <c r="V338" s="67"/>
      <c r="W338" s="67"/>
      <c r="X338" s="67"/>
      <c r="Y338" s="67"/>
      <c r="Z338" s="67"/>
      <c r="AA338" s="4"/>
      <c r="AB338" s="4"/>
      <c r="AC338" s="4"/>
      <c r="AD338" s="4"/>
    </row>
    <row r="339" spans="1:30" ht="14.25" customHeight="1">
      <c r="A339" s="768"/>
      <c r="B339" s="4"/>
      <c r="C339" s="768" t="s">
        <v>1885</v>
      </c>
      <c r="D339" s="508" t="s">
        <v>1862</v>
      </c>
      <c r="E339" s="508" t="s">
        <v>2205</v>
      </c>
      <c r="F339" s="577" t="s">
        <v>2194</v>
      </c>
      <c r="G339" s="508">
        <v>2000</v>
      </c>
      <c r="H339" s="508">
        <v>4</v>
      </c>
      <c r="I339" s="579">
        <v>8000</v>
      </c>
      <c r="J339" s="579">
        <v>313.30191828890156</v>
      </c>
      <c r="K339" s="500"/>
      <c r="L339" s="560"/>
      <c r="M339" s="572"/>
      <c r="N339" s="67"/>
      <c r="O339" s="67"/>
      <c r="P339" s="67"/>
      <c r="Q339" s="67"/>
      <c r="R339" s="67"/>
      <c r="S339" s="67"/>
      <c r="T339" s="67"/>
      <c r="U339" s="67"/>
      <c r="V339" s="67"/>
      <c r="W339" s="67"/>
      <c r="X339" s="67"/>
      <c r="Y339" s="67"/>
      <c r="Z339" s="67"/>
      <c r="AA339" s="4"/>
      <c r="AB339" s="4"/>
      <c r="AC339" s="4"/>
      <c r="AD339" s="4"/>
    </row>
    <row r="340" spans="1:30" ht="14.25" customHeight="1">
      <c r="A340" s="768"/>
      <c r="B340" s="4"/>
      <c r="C340" s="768" t="s">
        <v>1885</v>
      </c>
      <c r="D340" s="508" t="s">
        <v>1862</v>
      </c>
      <c r="E340" s="508" t="s">
        <v>2268</v>
      </c>
      <c r="F340" s="577" t="s">
        <v>2194</v>
      </c>
      <c r="G340" s="508">
        <v>2500</v>
      </c>
      <c r="H340" s="508">
        <v>1</v>
      </c>
      <c r="I340" s="579">
        <v>2500</v>
      </c>
      <c r="J340" s="579">
        <v>97.906849465281738</v>
      </c>
      <c r="K340" s="500"/>
      <c r="L340" s="560"/>
      <c r="M340" s="572"/>
      <c r="N340" s="67"/>
      <c r="O340" s="67"/>
      <c r="P340" s="67"/>
      <c r="Q340" s="67"/>
      <c r="R340" s="67"/>
      <c r="S340" s="67"/>
      <c r="T340" s="67"/>
      <c r="U340" s="67"/>
      <c r="V340" s="67"/>
      <c r="W340" s="67"/>
      <c r="X340" s="67"/>
      <c r="Y340" s="67"/>
      <c r="Z340" s="67"/>
      <c r="AA340" s="4"/>
      <c r="AB340" s="4"/>
      <c r="AC340" s="4"/>
      <c r="AD340" s="4"/>
    </row>
    <row r="341" spans="1:30" ht="14.25" customHeight="1">
      <c r="A341" s="768"/>
      <c r="B341" s="4"/>
      <c r="C341" s="768" t="s">
        <v>1885</v>
      </c>
      <c r="D341" s="508" t="s">
        <v>1862</v>
      </c>
      <c r="E341" s="508" t="s">
        <v>2269</v>
      </c>
      <c r="F341" s="577" t="s">
        <v>2194</v>
      </c>
      <c r="G341" s="508">
        <v>6500</v>
      </c>
      <c r="H341" s="508">
        <v>1</v>
      </c>
      <c r="I341" s="579">
        <v>6500</v>
      </c>
      <c r="J341" s="579">
        <v>254.55780860973252</v>
      </c>
      <c r="K341" s="500"/>
      <c r="L341" s="560"/>
      <c r="M341" s="572"/>
      <c r="N341" s="67"/>
      <c r="O341" s="67"/>
      <c r="P341" s="67"/>
      <c r="Q341" s="67"/>
      <c r="R341" s="67"/>
      <c r="S341" s="67"/>
      <c r="T341" s="67"/>
      <c r="U341" s="67"/>
      <c r="V341" s="67"/>
      <c r="W341" s="67"/>
      <c r="X341" s="67"/>
      <c r="Y341" s="67"/>
      <c r="Z341" s="67"/>
      <c r="AA341" s="4"/>
      <c r="AB341" s="4"/>
      <c r="AC341" s="4"/>
      <c r="AD341" s="4"/>
    </row>
    <row r="342" spans="1:30" ht="14.25" customHeight="1">
      <c r="A342" s="768"/>
      <c r="B342" s="4"/>
      <c r="C342" s="768" t="s">
        <v>1885</v>
      </c>
      <c r="D342" s="508" t="s">
        <v>1862</v>
      </c>
      <c r="E342" s="508" t="s">
        <v>2270</v>
      </c>
      <c r="F342" s="577" t="s">
        <v>2194</v>
      </c>
      <c r="G342" s="508">
        <v>3000</v>
      </c>
      <c r="H342" s="508">
        <v>1</v>
      </c>
      <c r="I342" s="579">
        <v>3000</v>
      </c>
      <c r="J342" s="579">
        <v>117.48821935833809</v>
      </c>
      <c r="K342" s="500"/>
      <c r="L342" s="560"/>
      <c r="M342" s="572"/>
      <c r="N342" s="67"/>
      <c r="O342" s="67"/>
      <c r="P342" s="67"/>
      <c r="Q342" s="67"/>
      <c r="R342" s="67"/>
      <c r="S342" s="67"/>
      <c r="T342" s="67"/>
      <c r="U342" s="67"/>
      <c r="V342" s="67"/>
      <c r="W342" s="67"/>
      <c r="X342" s="67"/>
      <c r="Y342" s="67"/>
      <c r="Z342" s="67"/>
      <c r="AA342" s="4"/>
      <c r="AB342" s="4"/>
      <c r="AC342" s="4"/>
      <c r="AD342" s="4"/>
    </row>
    <row r="343" spans="1:30" ht="14.25" customHeight="1">
      <c r="A343" s="768"/>
      <c r="B343" s="4"/>
      <c r="C343" s="768" t="s">
        <v>1885</v>
      </c>
      <c r="D343" s="508" t="s">
        <v>1392</v>
      </c>
      <c r="E343" s="582" t="s">
        <v>2287</v>
      </c>
      <c r="F343" s="577" t="s">
        <v>2194</v>
      </c>
      <c r="G343" s="508">
        <v>6500</v>
      </c>
      <c r="H343" s="508">
        <v>1</v>
      </c>
      <c r="I343" s="579">
        <v>6500</v>
      </c>
      <c r="J343" s="579">
        <v>254.55780860973252</v>
      </c>
      <c r="K343" s="500"/>
      <c r="L343" s="560"/>
      <c r="M343" s="572"/>
      <c r="N343" s="67"/>
      <c r="O343" s="67"/>
      <c r="P343" s="67"/>
      <c r="Q343" s="67"/>
      <c r="R343" s="67"/>
      <c r="S343" s="67"/>
      <c r="T343" s="67"/>
      <c r="U343" s="67"/>
      <c r="V343" s="67"/>
      <c r="W343" s="67"/>
      <c r="X343" s="67"/>
      <c r="Y343" s="67"/>
      <c r="Z343" s="67"/>
      <c r="AA343" s="4"/>
      <c r="AB343" s="4"/>
      <c r="AC343" s="4"/>
      <c r="AD343" s="4"/>
    </row>
    <row r="344" spans="1:30" ht="14.25" customHeight="1">
      <c r="A344" s="768"/>
      <c r="B344" s="4"/>
      <c r="C344" s="768" t="s">
        <v>1885</v>
      </c>
      <c r="D344" s="508" t="s">
        <v>1392</v>
      </c>
      <c r="E344" s="508" t="s">
        <v>2271</v>
      </c>
      <c r="F344" s="577" t="s">
        <v>2194</v>
      </c>
      <c r="G344" s="508">
        <v>25000</v>
      </c>
      <c r="H344" s="508">
        <v>2</v>
      </c>
      <c r="I344" s="579">
        <v>50000</v>
      </c>
      <c r="J344" s="579">
        <v>1958.1369893056349</v>
      </c>
      <c r="K344" s="500"/>
      <c r="L344" s="560"/>
      <c r="M344" s="572"/>
      <c r="N344" s="67"/>
      <c r="O344" s="67"/>
      <c r="P344" s="67"/>
      <c r="Q344" s="67"/>
      <c r="R344" s="67"/>
      <c r="S344" s="67"/>
      <c r="T344" s="67"/>
      <c r="U344" s="67"/>
      <c r="V344" s="67"/>
      <c r="W344" s="67"/>
      <c r="X344" s="67"/>
      <c r="Y344" s="67"/>
      <c r="Z344" s="67"/>
      <c r="AA344" s="4"/>
      <c r="AB344" s="4"/>
      <c r="AC344" s="4"/>
      <c r="AD344" s="4"/>
    </row>
    <row r="345" spans="1:30" ht="14.25" customHeight="1">
      <c r="A345" s="768"/>
      <c r="B345" s="4"/>
      <c r="C345" s="768" t="s">
        <v>1885</v>
      </c>
      <c r="D345" s="508" t="s">
        <v>1862</v>
      </c>
      <c r="E345" s="508" t="s">
        <v>2272</v>
      </c>
      <c r="F345" s="577" t="s">
        <v>2194</v>
      </c>
      <c r="G345" s="508">
        <v>1500</v>
      </c>
      <c r="H345" s="508">
        <v>1</v>
      </c>
      <c r="I345" s="579">
        <v>1500</v>
      </c>
      <c r="J345" s="579">
        <v>58.744109679169043</v>
      </c>
      <c r="K345" s="500"/>
      <c r="L345" s="560"/>
      <c r="M345" s="572"/>
      <c r="N345" s="67"/>
      <c r="O345" s="67"/>
      <c r="P345" s="67"/>
      <c r="Q345" s="67"/>
      <c r="R345" s="67"/>
      <c r="S345" s="67"/>
      <c r="T345" s="67"/>
      <c r="U345" s="67"/>
      <c r="V345" s="67"/>
      <c r="W345" s="67"/>
      <c r="X345" s="67"/>
      <c r="Y345" s="67"/>
      <c r="Z345" s="67"/>
      <c r="AA345" s="4"/>
      <c r="AB345" s="4"/>
      <c r="AC345" s="4"/>
      <c r="AD345" s="4"/>
    </row>
    <row r="346" spans="1:30" ht="14.25" customHeight="1">
      <c r="A346" s="768"/>
      <c r="B346" s="4"/>
      <c r="C346" s="768" t="s">
        <v>1885</v>
      </c>
      <c r="D346" s="560"/>
      <c r="E346" s="583"/>
      <c r="F346" s="560"/>
      <c r="G346" s="560"/>
      <c r="H346" s="560"/>
      <c r="I346" s="560"/>
      <c r="J346" s="560"/>
      <c r="K346" s="560"/>
      <c r="L346" s="560"/>
      <c r="M346" s="572"/>
      <c r="N346" s="67"/>
      <c r="O346" s="67"/>
      <c r="P346" s="67"/>
      <c r="Q346" s="67"/>
      <c r="R346" s="67"/>
      <c r="S346" s="67"/>
      <c r="T346" s="67"/>
      <c r="U346" s="67"/>
      <c r="V346" s="67"/>
      <c r="W346" s="67"/>
      <c r="X346" s="67"/>
      <c r="Y346" s="67"/>
      <c r="Z346" s="67"/>
      <c r="AA346" s="4"/>
      <c r="AB346" s="4"/>
      <c r="AC346" s="4"/>
      <c r="AD346" s="4"/>
    </row>
    <row r="347" spans="1:30" ht="14.25" customHeight="1">
      <c r="A347" s="768"/>
      <c r="B347" s="4"/>
      <c r="C347" s="768" t="s">
        <v>1885</v>
      </c>
      <c r="D347" s="573" t="s">
        <v>2288</v>
      </c>
      <c r="E347" s="584" t="s">
        <v>2075</v>
      </c>
      <c r="F347" s="575" t="s">
        <v>2185</v>
      </c>
      <c r="G347" s="576" t="s">
        <v>2186</v>
      </c>
      <c r="H347" s="576" t="s">
        <v>2187</v>
      </c>
      <c r="I347" s="576" t="s">
        <v>2188</v>
      </c>
      <c r="J347" s="576" t="s">
        <v>2189</v>
      </c>
      <c r="K347" s="560"/>
      <c r="L347" s="560"/>
      <c r="M347" s="572"/>
      <c r="N347" s="67"/>
      <c r="O347" s="67"/>
      <c r="P347" s="67"/>
      <c r="Q347" s="67"/>
      <c r="R347" s="67"/>
      <c r="S347" s="67"/>
      <c r="T347" s="67"/>
      <c r="U347" s="67"/>
      <c r="V347" s="67"/>
      <c r="W347" s="67"/>
      <c r="X347" s="67"/>
      <c r="Y347" s="67"/>
      <c r="Z347" s="67"/>
      <c r="AA347" s="4"/>
      <c r="AB347" s="4"/>
      <c r="AC347" s="4"/>
      <c r="AD347" s="4"/>
    </row>
    <row r="348" spans="1:30" ht="14.25" customHeight="1">
      <c r="A348" s="768"/>
      <c r="B348" s="4"/>
      <c r="C348" s="768" t="s">
        <v>1885</v>
      </c>
      <c r="D348" s="508" t="s">
        <v>1903</v>
      </c>
      <c r="E348" s="508" t="s">
        <v>2190</v>
      </c>
      <c r="F348" s="577" t="s">
        <v>2191</v>
      </c>
      <c r="G348" s="578">
        <v>7660.3424999999997</v>
      </c>
      <c r="H348" s="508">
        <v>50</v>
      </c>
      <c r="I348" s="579">
        <v>383017.125</v>
      </c>
      <c r="J348" s="579">
        <v>15000</v>
      </c>
      <c r="K348" s="500"/>
      <c r="L348" s="560"/>
      <c r="M348" s="572"/>
      <c r="N348" s="67"/>
      <c r="O348" s="67"/>
      <c r="P348" s="67"/>
      <c r="Q348" s="67"/>
      <c r="R348" s="67"/>
      <c r="S348" s="67"/>
      <c r="T348" s="67"/>
      <c r="U348" s="67"/>
      <c r="V348" s="67"/>
      <c r="W348" s="67"/>
      <c r="X348" s="67"/>
      <c r="Y348" s="67"/>
      <c r="Z348" s="67"/>
      <c r="AA348" s="4"/>
      <c r="AB348" s="4"/>
      <c r="AC348" s="4"/>
      <c r="AD348" s="4"/>
    </row>
    <row r="349" spans="1:30" ht="14.25" customHeight="1">
      <c r="A349" s="768"/>
      <c r="B349" s="4"/>
      <c r="C349" s="768" t="s">
        <v>1885</v>
      </c>
      <c r="D349" s="508"/>
      <c r="E349" s="580" t="s">
        <v>2192</v>
      </c>
      <c r="F349" s="581"/>
      <c r="G349" s="508"/>
      <c r="H349" s="508"/>
      <c r="I349" s="579">
        <v>0</v>
      </c>
      <c r="J349" s="579">
        <v>0</v>
      </c>
      <c r="K349" s="500"/>
      <c r="L349" s="560"/>
      <c r="M349" s="572"/>
      <c r="N349" s="67"/>
      <c r="O349" s="67"/>
      <c r="P349" s="67"/>
      <c r="Q349" s="67"/>
      <c r="R349" s="67"/>
      <c r="S349" s="67"/>
      <c r="T349" s="67"/>
      <c r="U349" s="67"/>
      <c r="V349" s="67"/>
      <c r="W349" s="67"/>
      <c r="X349" s="67"/>
      <c r="Y349" s="67"/>
      <c r="Z349" s="67"/>
      <c r="AA349" s="4"/>
      <c r="AB349" s="4"/>
      <c r="AC349" s="4"/>
      <c r="AD349" s="4"/>
    </row>
    <row r="350" spans="1:30" ht="14.25" customHeight="1">
      <c r="A350" s="768"/>
      <c r="B350" s="4"/>
      <c r="C350" s="768" t="s">
        <v>1885</v>
      </c>
      <c r="D350" s="508" t="s">
        <v>1862</v>
      </c>
      <c r="E350" s="508" t="s">
        <v>2193</v>
      </c>
      <c r="F350" s="577" t="s">
        <v>2194</v>
      </c>
      <c r="G350" s="508">
        <v>1500</v>
      </c>
      <c r="H350" s="508">
        <v>2</v>
      </c>
      <c r="I350" s="579">
        <v>3000</v>
      </c>
      <c r="J350" s="579">
        <v>117.48821935833809</v>
      </c>
      <c r="K350" s="500"/>
      <c r="L350" s="560"/>
      <c r="M350" s="572"/>
      <c r="N350" s="67"/>
      <c r="O350" s="67"/>
      <c r="P350" s="67"/>
      <c r="Q350" s="67"/>
      <c r="R350" s="67"/>
      <c r="S350" s="67"/>
      <c r="T350" s="67"/>
      <c r="U350" s="67"/>
      <c r="V350" s="67"/>
      <c r="W350" s="67"/>
      <c r="X350" s="67"/>
      <c r="Y350" s="67"/>
      <c r="Z350" s="67"/>
      <c r="AA350" s="4"/>
      <c r="AB350" s="4"/>
      <c r="AC350" s="4"/>
      <c r="AD350" s="4"/>
    </row>
    <row r="351" spans="1:30" ht="14.25" customHeight="1">
      <c r="A351" s="768"/>
      <c r="B351" s="4"/>
      <c r="C351" s="768" t="s">
        <v>1885</v>
      </c>
      <c r="D351" s="508" t="s">
        <v>1862</v>
      </c>
      <c r="E351" s="508" t="s">
        <v>2195</v>
      </c>
      <c r="F351" s="577" t="s">
        <v>2194</v>
      </c>
      <c r="G351" s="508">
        <v>2500</v>
      </c>
      <c r="H351" s="508">
        <v>2</v>
      </c>
      <c r="I351" s="579">
        <v>5000</v>
      </c>
      <c r="J351" s="579">
        <v>195.81369893056348</v>
      </c>
      <c r="K351" s="500"/>
      <c r="L351" s="560"/>
      <c r="M351" s="572"/>
      <c r="N351" s="67"/>
      <c r="O351" s="67"/>
      <c r="P351" s="67"/>
      <c r="Q351" s="67"/>
      <c r="R351" s="67"/>
      <c r="S351" s="67"/>
      <c r="T351" s="67"/>
      <c r="U351" s="67"/>
      <c r="V351" s="67"/>
      <c r="W351" s="67"/>
      <c r="X351" s="67"/>
      <c r="Y351" s="67"/>
      <c r="Z351" s="67"/>
      <c r="AA351" s="4"/>
      <c r="AB351" s="4"/>
      <c r="AC351" s="4"/>
      <c r="AD351" s="4"/>
    </row>
    <row r="352" spans="1:30" ht="14.25" customHeight="1">
      <c r="A352" s="768"/>
      <c r="B352" s="4"/>
      <c r="C352" s="768" t="s">
        <v>1885</v>
      </c>
      <c r="D352" s="508" t="s">
        <v>1862</v>
      </c>
      <c r="E352" s="508" t="s">
        <v>2196</v>
      </c>
      <c r="F352" s="577" t="s">
        <v>2194</v>
      </c>
      <c r="G352" s="508">
        <v>500</v>
      </c>
      <c r="H352" s="508">
        <v>2</v>
      </c>
      <c r="I352" s="579">
        <v>1000</v>
      </c>
      <c r="J352" s="579">
        <v>39.162739786112695</v>
      </c>
      <c r="K352" s="500"/>
      <c r="L352" s="560"/>
      <c r="M352" s="572"/>
      <c r="N352" s="67"/>
      <c r="O352" s="67"/>
      <c r="P352" s="67"/>
      <c r="Q352" s="67"/>
      <c r="R352" s="67"/>
      <c r="S352" s="67"/>
      <c r="T352" s="67"/>
      <c r="U352" s="67"/>
      <c r="V352" s="67"/>
      <c r="W352" s="67"/>
      <c r="X352" s="67"/>
      <c r="Y352" s="67"/>
      <c r="Z352" s="67"/>
      <c r="AA352" s="4"/>
      <c r="AB352" s="4"/>
      <c r="AC352" s="4"/>
      <c r="AD352" s="4"/>
    </row>
    <row r="353" spans="1:30" ht="14.25" customHeight="1">
      <c r="A353" s="768"/>
      <c r="B353" s="4"/>
      <c r="C353" s="768" t="s">
        <v>1885</v>
      </c>
      <c r="D353" s="508" t="s">
        <v>1862</v>
      </c>
      <c r="E353" s="508" t="s">
        <v>2197</v>
      </c>
      <c r="F353" s="577" t="s">
        <v>2194</v>
      </c>
      <c r="G353" s="508">
        <v>300</v>
      </c>
      <c r="H353" s="508">
        <v>2</v>
      </c>
      <c r="I353" s="579">
        <v>600</v>
      </c>
      <c r="J353" s="579">
        <v>23.497643871667616</v>
      </c>
      <c r="K353" s="500"/>
      <c r="L353" s="560"/>
      <c r="M353" s="572"/>
      <c r="N353" s="67"/>
      <c r="O353" s="67"/>
      <c r="P353" s="67"/>
      <c r="Q353" s="67"/>
      <c r="R353" s="67"/>
      <c r="S353" s="67"/>
      <c r="T353" s="67"/>
      <c r="U353" s="67"/>
      <c r="V353" s="67"/>
      <c r="W353" s="67"/>
      <c r="X353" s="67"/>
      <c r="Y353" s="67"/>
      <c r="Z353" s="67"/>
      <c r="AA353" s="4"/>
      <c r="AB353" s="4"/>
      <c r="AC353" s="4"/>
      <c r="AD353" s="4"/>
    </row>
    <row r="354" spans="1:30" ht="14.25" customHeight="1">
      <c r="A354" s="768"/>
      <c r="B354" s="4"/>
      <c r="C354" s="768" t="s">
        <v>1885</v>
      </c>
      <c r="D354" s="508" t="s">
        <v>1862</v>
      </c>
      <c r="E354" s="508" t="s">
        <v>2198</v>
      </c>
      <c r="F354" s="577" t="s">
        <v>2194</v>
      </c>
      <c r="G354" s="508">
        <v>3000</v>
      </c>
      <c r="H354" s="508">
        <v>1</v>
      </c>
      <c r="I354" s="579">
        <v>3000</v>
      </c>
      <c r="J354" s="579">
        <v>117.48821935833809</v>
      </c>
      <c r="K354" s="500"/>
      <c r="L354" s="560"/>
      <c r="M354" s="572"/>
      <c r="N354" s="67"/>
      <c r="O354" s="67"/>
      <c r="P354" s="67"/>
      <c r="Q354" s="67"/>
      <c r="R354" s="67"/>
      <c r="S354" s="67"/>
      <c r="T354" s="67"/>
      <c r="U354" s="67"/>
      <c r="V354" s="67"/>
      <c r="W354" s="67"/>
      <c r="X354" s="67"/>
      <c r="Y354" s="67"/>
      <c r="Z354" s="67"/>
      <c r="AA354" s="4"/>
      <c r="AB354" s="4"/>
      <c r="AC354" s="4"/>
      <c r="AD354" s="4"/>
    </row>
    <row r="355" spans="1:30" ht="14.25" customHeight="1">
      <c r="A355" s="768"/>
      <c r="B355" s="4"/>
      <c r="C355" s="768" t="s">
        <v>1885</v>
      </c>
      <c r="D355" s="508" t="s">
        <v>1862</v>
      </c>
      <c r="E355" s="508" t="s">
        <v>2199</v>
      </c>
      <c r="F355" s="577" t="s">
        <v>2194</v>
      </c>
      <c r="G355" s="508">
        <v>2500</v>
      </c>
      <c r="H355" s="508">
        <v>1</v>
      </c>
      <c r="I355" s="579">
        <v>2500</v>
      </c>
      <c r="J355" s="579">
        <v>97.906849465281738</v>
      </c>
      <c r="K355" s="500"/>
      <c r="L355" s="560"/>
      <c r="M355" s="572"/>
      <c r="N355" s="67"/>
      <c r="O355" s="67"/>
      <c r="P355" s="67"/>
      <c r="Q355" s="67"/>
      <c r="R355" s="67"/>
      <c r="S355" s="67"/>
      <c r="T355" s="67"/>
      <c r="U355" s="67"/>
      <c r="V355" s="67"/>
      <c r="W355" s="67"/>
      <c r="X355" s="67"/>
      <c r="Y355" s="67"/>
      <c r="Z355" s="67"/>
      <c r="AA355" s="4"/>
      <c r="AB355" s="4"/>
      <c r="AC355" s="4"/>
      <c r="AD355" s="4"/>
    </row>
    <row r="356" spans="1:30" ht="14.25" customHeight="1">
      <c r="A356" s="768"/>
      <c r="B356" s="4"/>
      <c r="C356" s="768" t="s">
        <v>1885</v>
      </c>
      <c r="D356" s="508" t="s">
        <v>1862</v>
      </c>
      <c r="E356" s="508" t="s">
        <v>2200</v>
      </c>
      <c r="F356" s="577" t="s">
        <v>2194</v>
      </c>
      <c r="G356" s="508">
        <v>700</v>
      </c>
      <c r="H356" s="508">
        <v>2</v>
      </c>
      <c r="I356" s="579">
        <v>1400</v>
      </c>
      <c r="J356" s="579">
        <v>54.827835700557777</v>
      </c>
      <c r="K356" s="500"/>
      <c r="L356" s="560"/>
      <c r="M356" s="572"/>
      <c r="N356" s="67"/>
      <c r="O356" s="67"/>
      <c r="P356" s="67"/>
      <c r="Q356" s="67"/>
      <c r="R356" s="67"/>
      <c r="S356" s="67"/>
      <c r="T356" s="67"/>
      <c r="U356" s="67"/>
      <c r="V356" s="67"/>
      <c r="W356" s="67"/>
      <c r="X356" s="67"/>
      <c r="Y356" s="67"/>
      <c r="Z356" s="67"/>
      <c r="AA356" s="4"/>
      <c r="AB356" s="4"/>
      <c r="AC356" s="4"/>
      <c r="AD356" s="4"/>
    </row>
    <row r="357" spans="1:30" ht="14.25" customHeight="1">
      <c r="A357" s="768"/>
      <c r="B357" s="4"/>
      <c r="C357" s="768" t="s">
        <v>1885</v>
      </c>
      <c r="D357" s="508"/>
      <c r="E357" s="580" t="s">
        <v>2201</v>
      </c>
      <c r="F357" s="581"/>
      <c r="G357" s="508"/>
      <c r="H357" s="508"/>
      <c r="I357" s="579">
        <v>0</v>
      </c>
      <c r="J357" s="579">
        <v>0</v>
      </c>
      <c r="K357" s="500"/>
      <c r="L357" s="560"/>
      <c r="M357" s="572"/>
      <c r="N357" s="67"/>
      <c r="O357" s="67"/>
      <c r="P357" s="67"/>
      <c r="Q357" s="67"/>
      <c r="R357" s="67"/>
      <c r="S357" s="67"/>
      <c r="T357" s="67"/>
      <c r="U357" s="67"/>
      <c r="V357" s="67"/>
      <c r="W357" s="67"/>
      <c r="X357" s="67"/>
      <c r="Y357" s="67"/>
      <c r="Z357" s="67"/>
      <c r="AA357" s="4"/>
      <c r="AB357" s="4"/>
      <c r="AC357" s="4"/>
      <c r="AD357" s="4"/>
    </row>
    <row r="358" spans="1:30" ht="14.25" customHeight="1">
      <c r="A358" s="768"/>
      <c r="B358" s="4"/>
      <c r="C358" s="768" t="s">
        <v>1885</v>
      </c>
      <c r="D358" s="508" t="s">
        <v>1862</v>
      </c>
      <c r="E358" s="508" t="s">
        <v>2202</v>
      </c>
      <c r="F358" s="577" t="s">
        <v>2194</v>
      </c>
      <c r="G358" s="508">
        <v>2300</v>
      </c>
      <c r="H358" s="508">
        <v>1</v>
      </c>
      <c r="I358" s="579">
        <v>2300</v>
      </c>
      <c r="J358" s="579">
        <v>90.074301508059207</v>
      </c>
      <c r="K358" s="500"/>
      <c r="L358" s="560"/>
      <c r="M358" s="572"/>
      <c r="N358" s="67"/>
      <c r="O358" s="67"/>
      <c r="P358" s="67"/>
      <c r="Q358" s="67"/>
      <c r="R358" s="67"/>
      <c r="S358" s="67"/>
      <c r="T358" s="67"/>
      <c r="U358" s="67"/>
      <c r="V358" s="67"/>
      <c r="W358" s="67"/>
      <c r="X358" s="67"/>
      <c r="Y358" s="67"/>
      <c r="Z358" s="67"/>
      <c r="AA358" s="4"/>
      <c r="AB358" s="4"/>
      <c r="AC358" s="4"/>
      <c r="AD358" s="4"/>
    </row>
    <row r="359" spans="1:30" ht="14.25" customHeight="1">
      <c r="A359" s="768"/>
      <c r="B359" s="4"/>
      <c r="C359" s="768" t="s">
        <v>1885</v>
      </c>
      <c r="D359" s="508" t="s">
        <v>1862</v>
      </c>
      <c r="E359" s="508" t="s">
        <v>2274</v>
      </c>
      <c r="F359" s="577" t="s">
        <v>2194</v>
      </c>
      <c r="G359" s="508">
        <v>3500</v>
      </c>
      <c r="H359" s="508">
        <v>1</v>
      </c>
      <c r="I359" s="579">
        <v>3500</v>
      </c>
      <c r="J359" s="579">
        <v>137.06958925139443</v>
      </c>
      <c r="K359" s="500"/>
      <c r="L359" s="560"/>
      <c r="M359" s="572"/>
      <c r="N359" s="67"/>
      <c r="O359" s="67"/>
      <c r="P359" s="67"/>
      <c r="Q359" s="67"/>
      <c r="R359" s="67"/>
      <c r="S359" s="67"/>
      <c r="T359" s="67"/>
      <c r="U359" s="67"/>
      <c r="V359" s="67"/>
      <c r="W359" s="67"/>
      <c r="X359" s="67"/>
      <c r="Y359" s="67"/>
      <c r="Z359" s="67"/>
      <c r="AA359" s="4"/>
      <c r="AB359" s="4"/>
      <c r="AC359" s="4"/>
      <c r="AD359" s="4"/>
    </row>
    <row r="360" spans="1:30" ht="14.25" customHeight="1">
      <c r="A360" s="768"/>
      <c r="B360" s="4"/>
      <c r="C360" s="768" t="s">
        <v>1885</v>
      </c>
      <c r="D360" s="508" t="s">
        <v>1862</v>
      </c>
      <c r="E360" s="508" t="s">
        <v>2204</v>
      </c>
      <c r="F360" s="577" t="s">
        <v>2194</v>
      </c>
      <c r="G360" s="508">
        <v>1200</v>
      </c>
      <c r="H360" s="508">
        <v>1</v>
      </c>
      <c r="I360" s="579">
        <v>1200</v>
      </c>
      <c r="J360" s="579">
        <v>46.995287743335233</v>
      </c>
      <c r="K360" s="500"/>
      <c r="L360" s="560"/>
      <c r="M360" s="572"/>
      <c r="N360" s="67"/>
      <c r="O360" s="67"/>
      <c r="P360" s="67"/>
      <c r="Q360" s="67"/>
      <c r="R360" s="67"/>
      <c r="S360" s="67"/>
      <c r="T360" s="67"/>
      <c r="U360" s="67"/>
      <c r="V360" s="67"/>
      <c r="W360" s="67"/>
      <c r="X360" s="67"/>
      <c r="Y360" s="67"/>
      <c r="Z360" s="67"/>
      <c r="AA360" s="4"/>
      <c r="AB360" s="4"/>
      <c r="AC360" s="4"/>
      <c r="AD360" s="4"/>
    </row>
    <row r="361" spans="1:30" ht="14.25" customHeight="1">
      <c r="A361" s="768"/>
      <c r="B361" s="4"/>
      <c r="C361" s="768" t="s">
        <v>1885</v>
      </c>
      <c r="D361" s="508" t="s">
        <v>1862</v>
      </c>
      <c r="E361" s="508" t="s">
        <v>2205</v>
      </c>
      <c r="F361" s="577" t="s">
        <v>2194</v>
      </c>
      <c r="G361" s="508">
        <v>500</v>
      </c>
      <c r="H361" s="508">
        <v>2</v>
      </c>
      <c r="I361" s="579">
        <v>1000</v>
      </c>
      <c r="J361" s="579">
        <v>39.162739786112695</v>
      </c>
      <c r="K361" s="500"/>
      <c r="L361" s="560"/>
      <c r="M361" s="572"/>
      <c r="N361" s="67"/>
      <c r="O361" s="67"/>
      <c r="P361" s="67"/>
      <c r="Q361" s="67"/>
      <c r="R361" s="67"/>
      <c r="S361" s="67"/>
      <c r="T361" s="67"/>
      <c r="U361" s="67"/>
      <c r="V361" s="67"/>
      <c r="W361" s="67"/>
      <c r="X361" s="67"/>
      <c r="Y361" s="67"/>
      <c r="Z361" s="67"/>
      <c r="AA361" s="4"/>
      <c r="AB361" s="4"/>
      <c r="AC361" s="4"/>
      <c r="AD361" s="4"/>
    </row>
    <row r="362" spans="1:30" ht="14.25" customHeight="1">
      <c r="A362" s="768"/>
      <c r="B362" s="4"/>
      <c r="C362" s="768" t="s">
        <v>1885</v>
      </c>
      <c r="D362" s="508" t="s">
        <v>1909</v>
      </c>
      <c r="E362" s="508" t="s">
        <v>2206</v>
      </c>
      <c r="F362" s="577" t="s">
        <v>2194</v>
      </c>
      <c r="G362" s="508">
        <v>3500</v>
      </c>
      <c r="H362" s="508">
        <v>1</v>
      </c>
      <c r="I362" s="579">
        <v>3500</v>
      </c>
      <c r="J362" s="579">
        <v>137.06958925139443</v>
      </c>
      <c r="K362" s="500"/>
      <c r="L362" s="560"/>
      <c r="M362" s="572"/>
      <c r="N362" s="67"/>
      <c r="O362" s="67"/>
      <c r="P362" s="67"/>
      <c r="Q362" s="67"/>
      <c r="R362" s="67"/>
      <c r="S362" s="67"/>
      <c r="T362" s="67"/>
      <c r="U362" s="67"/>
      <c r="V362" s="67"/>
      <c r="W362" s="67"/>
      <c r="X362" s="67"/>
      <c r="Y362" s="67"/>
      <c r="Z362" s="67"/>
      <c r="AA362" s="4"/>
      <c r="AB362" s="4"/>
      <c r="AC362" s="4"/>
      <c r="AD362" s="4"/>
    </row>
    <row r="363" spans="1:30" ht="14.25" customHeight="1">
      <c r="A363" s="768"/>
      <c r="B363" s="4"/>
      <c r="C363" s="768" t="s">
        <v>1885</v>
      </c>
      <c r="D363" s="508" t="s">
        <v>1909</v>
      </c>
      <c r="E363" s="508" t="s">
        <v>2207</v>
      </c>
      <c r="F363" s="577" t="s">
        <v>2194</v>
      </c>
      <c r="G363" s="508">
        <v>3000</v>
      </c>
      <c r="H363" s="508">
        <v>1</v>
      </c>
      <c r="I363" s="579">
        <v>3000</v>
      </c>
      <c r="J363" s="579">
        <v>117.48821935833809</v>
      </c>
      <c r="K363" s="500"/>
      <c r="L363" s="560"/>
      <c r="M363" s="572"/>
      <c r="N363" s="67"/>
      <c r="O363" s="67"/>
      <c r="P363" s="67"/>
      <c r="Q363" s="67"/>
      <c r="R363" s="67"/>
      <c r="S363" s="67"/>
      <c r="T363" s="67"/>
      <c r="U363" s="67"/>
      <c r="V363" s="67"/>
      <c r="W363" s="67"/>
      <c r="X363" s="67"/>
      <c r="Y363" s="67"/>
      <c r="Z363" s="67"/>
      <c r="AA363" s="4"/>
      <c r="AB363" s="4"/>
      <c r="AC363" s="4"/>
      <c r="AD363" s="4"/>
    </row>
    <row r="364" spans="1:30" ht="14.25" customHeight="1">
      <c r="A364" s="768"/>
      <c r="B364" s="4"/>
      <c r="C364" s="768" t="s">
        <v>1885</v>
      </c>
      <c r="D364" s="508" t="s">
        <v>1909</v>
      </c>
      <c r="E364" s="508" t="s">
        <v>2208</v>
      </c>
      <c r="F364" s="577" t="s">
        <v>2194</v>
      </c>
      <c r="G364" s="508">
        <v>7000</v>
      </c>
      <c r="H364" s="508">
        <v>1</v>
      </c>
      <c r="I364" s="579">
        <v>7000</v>
      </c>
      <c r="J364" s="579">
        <v>274.13917850278887</v>
      </c>
      <c r="K364" s="500"/>
      <c r="L364" s="560"/>
      <c r="M364" s="572"/>
      <c r="N364" s="67"/>
      <c r="O364" s="67"/>
      <c r="P364" s="67"/>
      <c r="Q364" s="67"/>
      <c r="R364" s="67"/>
      <c r="S364" s="67"/>
      <c r="T364" s="67"/>
      <c r="U364" s="67"/>
      <c r="V364" s="67"/>
      <c r="W364" s="67"/>
      <c r="X364" s="67"/>
      <c r="Y364" s="67"/>
      <c r="Z364" s="67"/>
      <c r="AA364" s="4"/>
      <c r="AB364" s="4"/>
      <c r="AC364" s="4"/>
      <c r="AD364" s="4"/>
    </row>
    <row r="365" spans="1:30" ht="14.25" customHeight="1">
      <c r="A365" s="768"/>
      <c r="B365" s="4"/>
      <c r="C365" s="768" t="s">
        <v>1885</v>
      </c>
      <c r="D365" s="508" t="s">
        <v>1909</v>
      </c>
      <c r="E365" s="508" t="s">
        <v>2209</v>
      </c>
      <c r="F365" s="577" t="s">
        <v>2194</v>
      </c>
      <c r="G365" s="508">
        <v>3000</v>
      </c>
      <c r="H365" s="508">
        <v>1</v>
      </c>
      <c r="I365" s="579">
        <v>3000</v>
      </c>
      <c r="J365" s="579">
        <v>117.48821935833809</v>
      </c>
      <c r="K365" s="500"/>
      <c r="L365" s="560"/>
      <c r="M365" s="572"/>
      <c r="N365" s="67"/>
      <c r="O365" s="67"/>
      <c r="P365" s="67"/>
      <c r="Q365" s="67"/>
      <c r="R365" s="67"/>
      <c r="S365" s="67"/>
      <c r="T365" s="67"/>
      <c r="U365" s="67"/>
      <c r="V365" s="67"/>
      <c r="W365" s="67"/>
      <c r="X365" s="67"/>
      <c r="Y365" s="67"/>
      <c r="Z365" s="67"/>
      <c r="AA365" s="4"/>
      <c r="AB365" s="4"/>
      <c r="AC365" s="4"/>
      <c r="AD365" s="4"/>
    </row>
    <row r="366" spans="1:30" ht="14.25" customHeight="1">
      <c r="A366" s="768"/>
      <c r="B366" s="4"/>
      <c r="C366" s="768" t="s">
        <v>1885</v>
      </c>
      <c r="D366" s="508" t="s">
        <v>1909</v>
      </c>
      <c r="E366" s="508" t="s">
        <v>2210</v>
      </c>
      <c r="F366" s="577" t="s">
        <v>2194</v>
      </c>
      <c r="G366" s="508">
        <v>600</v>
      </c>
      <c r="H366" s="508">
        <v>1</v>
      </c>
      <c r="I366" s="579">
        <v>600</v>
      </c>
      <c r="J366" s="579">
        <v>23.497643871667616</v>
      </c>
      <c r="K366" s="500"/>
      <c r="L366" s="560"/>
      <c r="M366" s="572"/>
      <c r="N366" s="67"/>
      <c r="O366" s="67"/>
      <c r="P366" s="67"/>
      <c r="Q366" s="67"/>
      <c r="R366" s="67"/>
      <c r="S366" s="67"/>
      <c r="T366" s="67"/>
      <c r="U366" s="67"/>
      <c r="V366" s="67"/>
      <c r="W366" s="67"/>
      <c r="X366" s="67"/>
      <c r="Y366" s="67"/>
      <c r="Z366" s="67"/>
      <c r="AA366" s="4"/>
      <c r="AB366" s="4"/>
      <c r="AC366" s="4"/>
      <c r="AD366" s="4"/>
    </row>
    <row r="367" spans="1:30" ht="14.25" customHeight="1">
      <c r="A367" s="768"/>
      <c r="B367" s="4"/>
      <c r="C367" s="768" t="s">
        <v>1885</v>
      </c>
      <c r="D367" s="508" t="s">
        <v>1909</v>
      </c>
      <c r="E367" s="508" t="s">
        <v>2211</v>
      </c>
      <c r="F367" s="577" t="s">
        <v>2194</v>
      </c>
      <c r="G367" s="508">
        <v>2500</v>
      </c>
      <c r="H367" s="508">
        <v>1</v>
      </c>
      <c r="I367" s="579">
        <v>2500</v>
      </c>
      <c r="J367" s="579">
        <v>97.906849465281738</v>
      </c>
      <c r="K367" s="500"/>
      <c r="L367" s="560"/>
      <c r="M367" s="572"/>
      <c r="N367" s="67"/>
      <c r="O367" s="67"/>
      <c r="P367" s="67"/>
      <c r="Q367" s="67"/>
      <c r="R367" s="67"/>
      <c r="S367" s="67"/>
      <c r="T367" s="67"/>
      <c r="U367" s="67"/>
      <c r="V367" s="67"/>
      <c r="W367" s="67"/>
      <c r="X367" s="67"/>
      <c r="Y367" s="67"/>
      <c r="Z367" s="67"/>
      <c r="AA367" s="4"/>
      <c r="AB367" s="4"/>
      <c r="AC367" s="4"/>
      <c r="AD367" s="4"/>
    </row>
    <row r="368" spans="1:30" ht="14.25" customHeight="1">
      <c r="A368" s="768"/>
      <c r="B368" s="4"/>
      <c r="C368" s="768" t="s">
        <v>1885</v>
      </c>
      <c r="D368" s="508" t="s">
        <v>1862</v>
      </c>
      <c r="E368" s="508" t="s">
        <v>2212</v>
      </c>
      <c r="F368" s="577" t="s">
        <v>2213</v>
      </c>
      <c r="G368" s="508">
        <v>1700</v>
      </c>
      <c r="H368" s="508">
        <v>1</v>
      </c>
      <c r="I368" s="579">
        <v>1700</v>
      </c>
      <c r="J368" s="579">
        <v>66.576657636391587</v>
      </c>
      <c r="K368" s="500"/>
      <c r="L368" s="560"/>
      <c r="M368" s="572"/>
      <c r="N368" s="67"/>
      <c r="O368" s="67"/>
      <c r="P368" s="67"/>
      <c r="Q368" s="67"/>
      <c r="R368" s="67"/>
      <c r="S368" s="67"/>
      <c r="T368" s="67"/>
      <c r="U368" s="67"/>
      <c r="V368" s="67"/>
      <c r="W368" s="67"/>
      <c r="X368" s="67"/>
      <c r="Y368" s="67"/>
      <c r="Z368" s="67"/>
      <c r="AA368" s="4"/>
      <c r="AB368" s="4"/>
      <c r="AC368" s="4"/>
      <c r="AD368" s="4"/>
    </row>
    <row r="369" spans="1:30" ht="14.25" customHeight="1">
      <c r="A369" s="768"/>
      <c r="B369" s="4"/>
      <c r="C369" s="768" t="s">
        <v>1885</v>
      </c>
      <c r="D369" s="508" t="s">
        <v>1862</v>
      </c>
      <c r="E369" s="508" t="s">
        <v>2214</v>
      </c>
      <c r="F369" s="577" t="s">
        <v>2194</v>
      </c>
      <c r="G369" s="508">
        <v>500</v>
      </c>
      <c r="H369" s="508">
        <v>1</v>
      </c>
      <c r="I369" s="579">
        <v>500</v>
      </c>
      <c r="J369" s="579">
        <v>19.581369893056348</v>
      </c>
      <c r="K369" s="500"/>
      <c r="L369" s="560"/>
      <c r="M369" s="572"/>
      <c r="N369" s="67"/>
      <c r="O369" s="67"/>
      <c r="P369" s="67"/>
      <c r="Q369" s="67"/>
      <c r="R369" s="67"/>
      <c r="S369" s="67"/>
      <c r="T369" s="67"/>
      <c r="U369" s="67"/>
      <c r="V369" s="67"/>
      <c r="W369" s="67"/>
      <c r="X369" s="67"/>
      <c r="Y369" s="67"/>
      <c r="Z369" s="67"/>
      <c r="AA369" s="4"/>
      <c r="AB369" s="4"/>
      <c r="AC369" s="4"/>
      <c r="AD369" s="4"/>
    </row>
    <row r="370" spans="1:30" ht="14.25" customHeight="1">
      <c r="A370" s="768"/>
      <c r="B370" s="4"/>
      <c r="C370" s="768" t="s">
        <v>1885</v>
      </c>
      <c r="D370" s="508"/>
      <c r="E370" s="580" t="s">
        <v>2215</v>
      </c>
      <c r="F370" s="581"/>
      <c r="G370" s="508"/>
      <c r="H370" s="508"/>
      <c r="I370" s="579">
        <v>0</v>
      </c>
      <c r="J370" s="579">
        <v>0</v>
      </c>
      <c r="K370" s="500"/>
      <c r="L370" s="560"/>
      <c r="M370" s="572"/>
      <c r="N370" s="67"/>
      <c r="O370" s="67"/>
      <c r="P370" s="67"/>
      <c r="Q370" s="67"/>
      <c r="R370" s="67"/>
      <c r="S370" s="67"/>
      <c r="T370" s="67"/>
      <c r="U370" s="67"/>
      <c r="V370" s="67"/>
      <c r="W370" s="67"/>
      <c r="X370" s="67"/>
      <c r="Y370" s="67"/>
      <c r="Z370" s="67"/>
      <c r="AA370" s="4"/>
      <c r="AB370" s="4"/>
      <c r="AC370" s="4"/>
      <c r="AD370" s="4"/>
    </row>
    <row r="371" spans="1:30" ht="14.25" customHeight="1">
      <c r="A371" s="768"/>
      <c r="B371" s="4"/>
      <c r="C371" s="768" t="s">
        <v>1885</v>
      </c>
      <c r="D371" s="508" t="s">
        <v>1862</v>
      </c>
      <c r="E371" s="508" t="s">
        <v>2216</v>
      </c>
      <c r="F371" s="577" t="s">
        <v>2194</v>
      </c>
      <c r="G371" s="508">
        <v>3000</v>
      </c>
      <c r="H371" s="508">
        <v>1</v>
      </c>
      <c r="I371" s="579">
        <v>3000</v>
      </c>
      <c r="J371" s="579">
        <v>117.48821935833809</v>
      </c>
      <c r="K371" s="500"/>
      <c r="L371" s="560"/>
      <c r="M371" s="572"/>
      <c r="N371" s="67"/>
      <c r="O371" s="67"/>
      <c r="P371" s="67"/>
      <c r="Q371" s="67"/>
      <c r="R371" s="67"/>
      <c r="S371" s="67"/>
      <c r="T371" s="67"/>
      <c r="U371" s="67"/>
      <c r="V371" s="67"/>
      <c r="W371" s="67"/>
      <c r="X371" s="67"/>
      <c r="Y371" s="67"/>
      <c r="Z371" s="67"/>
      <c r="AA371" s="4"/>
      <c r="AB371" s="4"/>
      <c r="AC371" s="4"/>
      <c r="AD371" s="4"/>
    </row>
    <row r="372" spans="1:30" ht="14.25" customHeight="1">
      <c r="A372" s="768"/>
      <c r="B372" s="4"/>
      <c r="C372" s="768" t="s">
        <v>1885</v>
      </c>
      <c r="D372" s="508" t="s">
        <v>1862</v>
      </c>
      <c r="E372" s="508" t="s">
        <v>2217</v>
      </c>
      <c r="F372" s="577" t="s">
        <v>2194</v>
      </c>
      <c r="G372" s="508">
        <v>3500</v>
      </c>
      <c r="H372" s="508">
        <v>1</v>
      </c>
      <c r="I372" s="579">
        <v>3500</v>
      </c>
      <c r="J372" s="579">
        <v>137.06958925139443</v>
      </c>
      <c r="K372" s="500"/>
      <c r="L372" s="560"/>
      <c r="M372" s="572"/>
      <c r="N372" s="67"/>
      <c r="O372" s="67"/>
      <c r="P372" s="67"/>
      <c r="Q372" s="67"/>
      <c r="R372" s="67"/>
      <c r="S372" s="67"/>
      <c r="T372" s="67"/>
      <c r="U372" s="67"/>
      <c r="V372" s="67"/>
      <c r="W372" s="67"/>
      <c r="X372" s="67"/>
      <c r="Y372" s="67"/>
      <c r="Z372" s="67"/>
      <c r="AA372" s="4"/>
      <c r="AB372" s="4"/>
      <c r="AC372" s="4"/>
      <c r="AD372" s="4"/>
    </row>
    <row r="373" spans="1:30" ht="14.25" customHeight="1">
      <c r="A373" s="768"/>
      <c r="B373" s="4"/>
      <c r="C373" s="768" t="s">
        <v>1885</v>
      </c>
      <c r="D373" s="508" t="s">
        <v>1862</v>
      </c>
      <c r="E373" s="508" t="s">
        <v>2218</v>
      </c>
      <c r="F373" s="577" t="s">
        <v>2194</v>
      </c>
      <c r="G373" s="508">
        <v>1000</v>
      </c>
      <c r="H373" s="508">
        <v>1</v>
      </c>
      <c r="I373" s="579">
        <v>1000</v>
      </c>
      <c r="J373" s="579">
        <v>39.162739786112695</v>
      </c>
      <c r="K373" s="500"/>
      <c r="L373" s="560"/>
      <c r="M373" s="572"/>
      <c r="N373" s="67"/>
      <c r="O373" s="67"/>
      <c r="P373" s="67"/>
      <c r="Q373" s="67"/>
      <c r="R373" s="67"/>
      <c r="S373" s="67"/>
      <c r="T373" s="67"/>
      <c r="U373" s="67"/>
      <c r="V373" s="67"/>
      <c r="W373" s="67"/>
      <c r="X373" s="67"/>
      <c r="Y373" s="67"/>
      <c r="Z373" s="67"/>
      <c r="AA373" s="4"/>
      <c r="AB373" s="4"/>
      <c r="AC373" s="4"/>
      <c r="AD373" s="4"/>
    </row>
    <row r="374" spans="1:30" ht="14.25" customHeight="1">
      <c r="A374" s="768"/>
      <c r="B374" s="4"/>
      <c r="C374" s="768" t="s">
        <v>1885</v>
      </c>
      <c r="D374" s="508" t="s">
        <v>1909</v>
      </c>
      <c r="E374" s="508" t="s">
        <v>2219</v>
      </c>
      <c r="F374" s="577" t="s">
        <v>2194</v>
      </c>
      <c r="G374" s="508">
        <v>6000</v>
      </c>
      <c r="H374" s="508">
        <v>1</v>
      </c>
      <c r="I374" s="579">
        <v>6000</v>
      </c>
      <c r="J374" s="579">
        <v>234.97643871667617</v>
      </c>
      <c r="K374" s="500"/>
      <c r="L374" s="560"/>
      <c r="M374" s="572"/>
      <c r="N374" s="67"/>
      <c r="O374" s="67"/>
      <c r="P374" s="67"/>
      <c r="Q374" s="67"/>
      <c r="R374" s="67"/>
      <c r="S374" s="67"/>
      <c r="T374" s="67"/>
      <c r="U374" s="67"/>
      <c r="V374" s="67"/>
      <c r="W374" s="67"/>
      <c r="X374" s="67"/>
      <c r="Y374" s="67"/>
      <c r="Z374" s="67"/>
      <c r="AA374" s="4"/>
      <c r="AB374" s="4"/>
      <c r="AC374" s="4"/>
      <c r="AD374" s="4"/>
    </row>
    <row r="375" spans="1:30" ht="14.25" customHeight="1">
      <c r="A375" s="768"/>
      <c r="B375" s="4"/>
      <c r="C375" s="768" t="s">
        <v>1885</v>
      </c>
      <c r="D375" s="508" t="s">
        <v>1909</v>
      </c>
      <c r="E375" s="508" t="s">
        <v>2209</v>
      </c>
      <c r="F375" s="577" t="s">
        <v>2194</v>
      </c>
      <c r="G375" s="508">
        <v>3000</v>
      </c>
      <c r="H375" s="508">
        <v>1</v>
      </c>
      <c r="I375" s="579">
        <v>3000</v>
      </c>
      <c r="J375" s="579">
        <v>117.48821935833809</v>
      </c>
      <c r="K375" s="500"/>
      <c r="L375" s="560"/>
      <c r="M375" s="572"/>
      <c r="N375" s="67"/>
      <c r="O375" s="67"/>
      <c r="P375" s="67"/>
      <c r="Q375" s="67"/>
      <c r="R375" s="67"/>
      <c r="S375" s="67"/>
      <c r="T375" s="67"/>
      <c r="U375" s="67"/>
      <c r="V375" s="67"/>
      <c r="W375" s="67"/>
      <c r="X375" s="67"/>
      <c r="Y375" s="67"/>
      <c r="Z375" s="67"/>
      <c r="AA375" s="4"/>
      <c r="AB375" s="4"/>
      <c r="AC375" s="4"/>
      <c r="AD375" s="4"/>
    </row>
    <row r="376" spans="1:30" ht="14.25" customHeight="1">
      <c r="A376" s="768"/>
      <c r="B376" s="4"/>
      <c r="C376" s="768" t="s">
        <v>1885</v>
      </c>
      <c r="D376" s="508"/>
      <c r="E376" s="580" t="s">
        <v>2220</v>
      </c>
      <c r="F376" s="581"/>
      <c r="G376" s="508"/>
      <c r="H376" s="508"/>
      <c r="I376" s="579">
        <v>0</v>
      </c>
      <c r="J376" s="579">
        <v>0</v>
      </c>
      <c r="K376" s="500"/>
      <c r="L376" s="560"/>
      <c r="M376" s="572"/>
      <c r="N376" s="67"/>
      <c r="O376" s="67"/>
      <c r="P376" s="67"/>
      <c r="Q376" s="67"/>
      <c r="R376" s="67"/>
      <c r="S376" s="67"/>
      <c r="T376" s="67"/>
      <c r="U376" s="67"/>
      <c r="V376" s="67"/>
      <c r="W376" s="67"/>
      <c r="X376" s="67"/>
      <c r="Y376" s="67"/>
      <c r="Z376" s="67"/>
      <c r="AA376" s="4"/>
      <c r="AB376" s="4"/>
      <c r="AC376" s="4"/>
      <c r="AD376" s="4"/>
    </row>
    <row r="377" spans="1:30" ht="14.25" customHeight="1">
      <c r="A377" s="768"/>
      <c r="B377" s="4"/>
      <c r="C377" s="768" t="s">
        <v>1885</v>
      </c>
      <c r="D377" s="508" t="s">
        <v>1909</v>
      </c>
      <c r="E377" s="508" t="s">
        <v>2221</v>
      </c>
      <c r="F377" s="577" t="s">
        <v>2194</v>
      </c>
      <c r="G377" s="508">
        <v>1000</v>
      </c>
      <c r="H377" s="508">
        <v>2</v>
      </c>
      <c r="I377" s="579">
        <v>2000</v>
      </c>
      <c r="J377" s="579">
        <v>78.32547957222539</v>
      </c>
      <c r="K377" s="500"/>
      <c r="L377" s="560"/>
      <c r="M377" s="572"/>
      <c r="N377" s="67"/>
      <c r="O377" s="67"/>
      <c r="P377" s="67"/>
      <c r="Q377" s="67"/>
      <c r="R377" s="67"/>
      <c r="S377" s="67"/>
      <c r="T377" s="67"/>
      <c r="U377" s="67"/>
      <c r="V377" s="67"/>
      <c r="W377" s="67"/>
      <c r="X377" s="67"/>
      <c r="Y377" s="67"/>
      <c r="Z377" s="67"/>
      <c r="AA377" s="4"/>
      <c r="AB377" s="4"/>
      <c r="AC377" s="4"/>
      <c r="AD377" s="4"/>
    </row>
    <row r="378" spans="1:30" ht="14.25" customHeight="1">
      <c r="A378" s="768"/>
      <c r="B378" s="4"/>
      <c r="C378" s="768" t="s">
        <v>1885</v>
      </c>
      <c r="D378" s="508" t="s">
        <v>1862</v>
      </c>
      <c r="E378" s="508" t="s">
        <v>2222</v>
      </c>
      <c r="F378" s="577" t="s">
        <v>2194</v>
      </c>
      <c r="G378" s="508">
        <v>350</v>
      </c>
      <c r="H378" s="508">
        <v>1</v>
      </c>
      <c r="I378" s="579">
        <v>350</v>
      </c>
      <c r="J378" s="579">
        <v>13.706958925139444</v>
      </c>
      <c r="K378" s="500"/>
      <c r="L378" s="560"/>
      <c r="M378" s="572"/>
      <c r="N378" s="67"/>
      <c r="O378" s="67"/>
      <c r="P378" s="67"/>
      <c r="Q378" s="67"/>
      <c r="R378" s="67"/>
      <c r="S378" s="67"/>
      <c r="T378" s="67"/>
      <c r="U378" s="67"/>
      <c r="V378" s="67"/>
      <c r="W378" s="67"/>
      <c r="X378" s="67"/>
      <c r="Y378" s="67"/>
      <c r="Z378" s="67"/>
      <c r="AA378" s="4"/>
      <c r="AB378" s="4"/>
      <c r="AC378" s="4"/>
      <c r="AD378" s="4"/>
    </row>
    <row r="379" spans="1:30" ht="14.25" customHeight="1">
      <c r="A379" s="768"/>
      <c r="B379" s="4"/>
      <c r="C379" s="768" t="s">
        <v>1885</v>
      </c>
      <c r="D379" s="508" t="s">
        <v>1909</v>
      </c>
      <c r="E379" s="508" t="s">
        <v>2223</v>
      </c>
      <c r="F379" s="577" t="s">
        <v>2194</v>
      </c>
      <c r="G379" s="508">
        <v>600</v>
      </c>
      <c r="H379" s="508">
        <v>1</v>
      </c>
      <c r="I379" s="579">
        <v>600</v>
      </c>
      <c r="J379" s="579">
        <v>23.497643871667616</v>
      </c>
      <c r="K379" s="500"/>
      <c r="L379" s="560"/>
      <c r="M379" s="572"/>
      <c r="N379" s="67"/>
      <c r="O379" s="67"/>
      <c r="P379" s="67"/>
      <c r="Q379" s="67"/>
      <c r="R379" s="67"/>
      <c r="S379" s="67"/>
      <c r="T379" s="67"/>
      <c r="U379" s="67"/>
      <c r="V379" s="67"/>
      <c r="W379" s="67"/>
      <c r="X379" s="67"/>
      <c r="Y379" s="67"/>
      <c r="Z379" s="67"/>
      <c r="AA379" s="4"/>
      <c r="AB379" s="4"/>
      <c r="AC379" s="4"/>
      <c r="AD379" s="4"/>
    </row>
    <row r="380" spans="1:30" ht="14.25" customHeight="1">
      <c r="A380" s="768"/>
      <c r="B380" s="4"/>
      <c r="C380" s="768" t="s">
        <v>1885</v>
      </c>
      <c r="D380" s="508" t="s">
        <v>1909</v>
      </c>
      <c r="E380" s="508" t="s">
        <v>2224</v>
      </c>
      <c r="F380" s="577" t="s">
        <v>2194</v>
      </c>
      <c r="G380" s="508">
        <v>1000</v>
      </c>
      <c r="H380" s="508">
        <v>2</v>
      </c>
      <c r="I380" s="579">
        <v>2000</v>
      </c>
      <c r="J380" s="579">
        <v>78.32547957222539</v>
      </c>
      <c r="K380" s="500"/>
      <c r="L380" s="560"/>
      <c r="M380" s="572"/>
      <c r="N380" s="67"/>
      <c r="O380" s="67"/>
      <c r="P380" s="67"/>
      <c r="Q380" s="67"/>
      <c r="R380" s="67"/>
      <c r="S380" s="67"/>
      <c r="T380" s="67"/>
      <c r="U380" s="67"/>
      <c r="V380" s="67"/>
      <c r="W380" s="67"/>
      <c r="X380" s="67"/>
      <c r="Y380" s="67"/>
      <c r="Z380" s="67"/>
      <c r="AA380" s="4"/>
      <c r="AB380" s="4"/>
      <c r="AC380" s="4"/>
      <c r="AD380" s="4"/>
    </row>
    <row r="381" spans="1:30" ht="14.25" customHeight="1">
      <c r="A381" s="768"/>
      <c r="B381" s="4"/>
      <c r="C381" s="768" t="s">
        <v>1885</v>
      </c>
      <c r="D381" s="508" t="s">
        <v>1909</v>
      </c>
      <c r="E381" s="508" t="s">
        <v>2225</v>
      </c>
      <c r="F381" s="577" t="s">
        <v>2194</v>
      </c>
      <c r="G381" s="508">
        <v>2500</v>
      </c>
      <c r="H381" s="508">
        <v>1</v>
      </c>
      <c r="I381" s="579">
        <v>2500</v>
      </c>
      <c r="J381" s="579">
        <v>97.906849465281738</v>
      </c>
      <c r="K381" s="500"/>
      <c r="L381" s="560"/>
      <c r="M381" s="572"/>
      <c r="N381" s="67"/>
      <c r="O381" s="67"/>
      <c r="P381" s="67"/>
      <c r="Q381" s="67"/>
      <c r="R381" s="67"/>
      <c r="S381" s="67"/>
      <c r="T381" s="67"/>
      <c r="U381" s="67"/>
      <c r="V381" s="67"/>
      <c r="W381" s="67"/>
      <c r="X381" s="67"/>
      <c r="Y381" s="67"/>
      <c r="Z381" s="67"/>
      <c r="AA381" s="4"/>
      <c r="AB381" s="4"/>
      <c r="AC381" s="4"/>
      <c r="AD381" s="4"/>
    </row>
    <row r="382" spans="1:30" ht="14.25" customHeight="1">
      <c r="A382" s="768"/>
      <c r="B382" s="4"/>
      <c r="C382" s="768" t="s">
        <v>1885</v>
      </c>
      <c r="D382" s="508" t="s">
        <v>1862</v>
      </c>
      <c r="E382" s="508" t="s">
        <v>2226</v>
      </c>
      <c r="F382" s="577" t="s">
        <v>2194</v>
      </c>
      <c r="G382" s="508">
        <v>1000</v>
      </c>
      <c r="H382" s="508">
        <v>1</v>
      </c>
      <c r="I382" s="579">
        <v>1000</v>
      </c>
      <c r="J382" s="579">
        <v>39.162739786112695</v>
      </c>
      <c r="K382" s="500"/>
      <c r="L382" s="560"/>
      <c r="M382" s="572"/>
      <c r="N382" s="67"/>
      <c r="O382" s="67"/>
      <c r="P382" s="67"/>
      <c r="Q382" s="67"/>
      <c r="R382" s="67"/>
      <c r="S382" s="67"/>
      <c r="T382" s="67"/>
      <c r="U382" s="67"/>
      <c r="V382" s="67"/>
      <c r="W382" s="67"/>
      <c r="X382" s="67"/>
      <c r="Y382" s="67"/>
      <c r="Z382" s="67"/>
      <c r="AA382" s="4"/>
      <c r="AB382" s="4"/>
      <c r="AC382" s="4"/>
      <c r="AD382" s="4"/>
    </row>
    <row r="383" spans="1:30" ht="14.25" customHeight="1">
      <c r="A383" s="768"/>
      <c r="B383" s="4"/>
      <c r="C383" s="768" t="s">
        <v>1885</v>
      </c>
      <c r="D383" s="508" t="s">
        <v>1909</v>
      </c>
      <c r="E383" s="508" t="s">
        <v>2227</v>
      </c>
      <c r="F383" s="577" t="s">
        <v>2194</v>
      </c>
      <c r="G383" s="508">
        <v>600</v>
      </c>
      <c r="H383" s="508">
        <v>1</v>
      </c>
      <c r="I383" s="579">
        <v>600</v>
      </c>
      <c r="J383" s="579">
        <v>23.497643871667616</v>
      </c>
      <c r="K383" s="500"/>
      <c r="L383" s="560"/>
      <c r="M383" s="572"/>
      <c r="N383" s="67"/>
      <c r="O383" s="67"/>
      <c r="P383" s="67"/>
      <c r="Q383" s="67"/>
      <c r="R383" s="67"/>
      <c r="S383" s="67"/>
      <c r="T383" s="67"/>
      <c r="U383" s="67"/>
      <c r="V383" s="67"/>
      <c r="W383" s="67"/>
      <c r="X383" s="67"/>
      <c r="Y383" s="67"/>
      <c r="Z383" s="67"/>
      <c r="AA383" s="4"/>
      <c r="AB383" s="4"/>
      <c r="AC383" s="4"/>
      <c r="AD383" s="4"/>
    </row>
    <row r="384" spans="1:30" ht="14.25" customHeight="1">
      <c r="A384" s="768"/>
      <c r="B384" s="4"/>
      <c r="C384" s="768" t="s">
        <v>1885</v>
      </c>
      <c r="D384" s="508" t="s">
        <v>1392</v>
      </c>
      <c r="E384" s="508" t="s">
        <v>2228</v>
      </c>
      <c r="F384" s="577" t="s">
        <v>2194</v>
      </c>
      <c r="G384" s="508">
        <v>4000</v>
      </c>
      <c r="H384" s="508">
        <v>1</v>
      </c>
      <c r="I384" s="579">
        <v>4000</v>
      </c>
      <c r="J384" s="579">
        <v>156.65095914445078</v>
      </c>
      <c r="K384" s="500"/>
      <c r="L384" s="560"/>
      <c r="M384" s="572"/>
      <c r="N384" s="67"/>
      <c r="O384" s="67"/>
      <c r="P384" s="67"/>
      <c r="Q384" s="67"/>
      <c r="R384" s="67"/>
      <c r="S384" s="67"/>
      <c r="T384" s="67"/>
      <c r="U384" s="67"/>
      <c r="V384" s="67"/>
      <c r="W384" s="67"/>
      <c r="X384" s="67"/>
      <c r="Y384" s="67"/>
      <c r="Z384" s="67"/>
      <c r="AA384" s="4"/>
      <c r="AB384" s="4"/>
      <c r="AC384" s="4"/>
      <c r="AD384" s="4"/>
    </row>
    <row r="385" spans="1:30" ht="14.25" customHeight="1">
      <c r="A385" s="768"/>
      <c r="B385" s="4"/>
      <c r="C385" s="768" t="s">
        <v>1885</v>
      </c>
      <c r="D385" s="508" t="s">
        <v>1392</v>
      </c>
      <c r="E385" s="508" t="s">
        <v>2276</v>
      </c>
      <c r="F385" s="577" t="s">
        <v>2194</v>
      </c>
      <c r="G385" s="508">
        <v>10000</v>
      </c>
      <c r="H385" s="508">
        <v>1</v>
      </c>
      <c r="I385" s="579">
        <v>10000</v>
      </c>
      <c r="J385" s="579">
        <v>391.62739786112695</v>
      </c>
      <c r="K385" s="500"/>
      <c r="L385" s="560"/>
      <c r="M385" s="572"/>
      <c r="N385" s="67"/>
      <c r="O385" s="67"/>
      <c r="P385" s="67"/>
      <c r="Q385" s="67"/>
      <c r="R385" s="67"/>
      <c r="S385" s="67"/>
      <c r="T385" s="67"/>
      <c r="U385" s="67"/>
      <c r="V385" s="67"/>
      <c r="W385" s="67"/>
      <c r="X385" s="67"/>
      <c r="Y385" s="67"/>
      <c r="Z385" s="67"/>
      <c r="AA385" s="4"/>
      <c r="AB385" s="4"/>
      <c r="AC385" s="4"/>
      <c r="AD385" s="4"/>
    </row>
    <row r="386" spans="1:30" ht="14.25" customHeight="1">
      <c r="A386" s="768"/>
      <c r="B386" s="4"/>
      <c r="C386" s="768" t="s">
        <v>1885</v>
      </c>
      <c r="D386" s="508" t="s">
        <v>1862</v>
      </c>
      <c r="E386" s="508" t="s">
        <v>2277</v>
      </c>
      <c r="F386" s="577" t="s">
        <v>2194</v>
      </c>
      <c r="G386" s="508">
        <v>500</v>
      </c>
      <c r="H386" s="508">
        <v>2</v>
      </c>
      <c r="I386" s="579">
        <v>1000</v>
      </c>
      <c r="J386" s="579">
        <v>39.162739786112695</v>
      </c>
      <c r="K386" s="500"/>
      <c r="L386" s="560"/>
      <c r="M386" s="572"/>
      <c r="N386" s="67"/>
      <c r="O386" s="67"/>
      <c r="P386" s="67"/>
      <c r="Q386" s="67"/>
      <c r="R386" s="67"/>
      <c r="S386" s="67"/>
      <c r="T386" s="67"/>
      <c r="U386" s="67"/>
      <c r="V386" s="67"/>
      <c r="W386" s="67"/>
      <c r="X386" s="67"/>
      <c r="Y386" s="67"/>
      <c r="Z386" s="67"/>
      <c r="AA386" s="4"/>
      <c r="AB386" s="4"/>
      <c r="AC386" s="4"/>
      <c r="AD386" s="4"/>
    </row>
    <row r="387" spans="1:30" ht="14.25" customHeight="1">
      <c r="A387" s="768"/>
      <c r="B387" s="4"/>
      <c r="C387" s="768" t="s">
        <v>1885</v>
      </c>
      <c r="D387" s="508" t="s">
        <v>1862</v>
      </c>
      <c r="E387" s="508" t="s">
        <v>2231</v>
      </c>
      <c r="F387" s="577" t="s">
        <v>2194</v>
      </c>
      <c r="G387" s="508">
        <v>300</v>
      </c>
      <c r="H387" s="508">
        <v>1</v>
      </c>
      <c r="I387" s="579">
        <v>300</v>
      </c>
      <c r="J387" s="579">
        <v>11.748821935833808</v>
      </c>
      <c r="K387" s="500"/>
      <c r="L387" s="560"/>
      <c r="M387" s="572"/>
      <c r="N387" s="67"/>
      <c r="O387" s="67"/>
      <c r="P387" s="67"/>
      <c r="Q387" s="67"/>
      <c r="R387" s="67"/>
      <c r="S387" s="67"/>
      <c r="T387" s="67"/>
      <c r="U387" s="67"/>
      <c r="V387" s="67"/>
      <c r="W387" s="67"/>
      <c r="X387" s="67"/>
      <c r="Y387" s="67"/>
      <c r="Z387" s="67"/>
      <c r="AA387" s="4"/>
      <c r="AB387" s="4"/>
      <c r="AC387" s="4"/>
      <c r="AD387" s="4"/>
    </row>
    <row r="388" spans="1:30" ht="14.25" customHeight="1">
      <c r="A388" s="768"/>
      <c r="B388" s="4"/>
      <c r="C388" s="768" t="s">
        <v>1885</v>
      </c>
      <c r="D388" s="508" t="s">
        <v>1862</v>
      </c>
      <c r="E388" s="508" t="s">
        <v>2232</v>
      </c>
      <c r="F388" s="577" t="s">
        <v>2194</v>
      </c>
      <c r="G388" s="508">
        <v>500</v>
      </c>
      <c r="H388" s="508">
        <v>1</v>
      </c>
      <c r="I388" s="579">
        <v>500</v>
      </c>
      <c r="J388" s="579">
        <v>19.581369893056348</v>
      </c>
      <c r="K388" s="500"/>
      <c r="L388" s="560"/>
      <c r="M388" s="572"/>
      <c r="N388" s="67"/>
      <c r="O388" s="67"/>
      <c r="P388" s="67"/>
      <c r="Q388" s="67"/>
      <c r="R388" s="67"/>
      <c r="S388" s="67"/>
      <c r="T388" s="67"/>
      <c r="U388" s="67"/>
      <c r="V388" s="67"/>
      <c r="W388" s="67"/>
      <c r="X388" s="67"/>
      <c r="Y388" s="67"/>
      <c r="Z388" s="67"/>
      <c r="AA388" s="4"/>
      <c r="AB388" s="4"/>
      <c r="AC388" s="4"/>
      <c r="AD388" s="4"/>
    </row>
    <row r="389" spans="1:30" ht="14.25" customHeight="1">
      <c r="A389" s="768"/>
      <c r="B389" s="4"/>
      <c r="C389" s="768" t="s">
        <v>1885</v>
      </c>
      <c r="D389" s="508" t="s">
        <v>1862</v>
      </c>
      <c r="E389" s="508" t="s">
        <v>2233</v>
      </c>
      <c r="F389" s="577" t="s">
        <v>2194</v>
      </c>
      <c r="G389" s="508">
        <v>800</v>
      </c>
      <c r="H389" s="508">
        <v>1</v>
      </c>
      <c r="I389" s="579">
        <v>800</v>
      </c>
      <c r="J389" s="579">
        <v>31.330191828890158</v>
      </c>
      <c r="K389" s="500"/>
      <c r="L389" s="560"/>
      <c r="M389" s="572"/>
      <c r="N389" s="67"/>
      <c r="O389" s="67"/>
      <c r="P389" s="67"/>
      <c r="Q389" s="67"/>
      <c r="R389" s="67"/>
      <c r="S389" s="67"/>
      <c r="T389" s="67"/>
      <c r="U389" s="67"/>
      <c r="V389" s="67"/>
      <c r="W389" s="67"/>
      <c r="X389" s="67"/>
      <c r="Y389" s="67"/>
      <c r="Z389" s="67"/>
      <c r="AA389" s="4"/>
      <c r="AB389" s="4"/>
      <c r="AC389" s="4"/>
      <c r="AD389" s="4"/>
    </row>
    <row r="390" spans="1:30" ht="14.25" customHeight="1">
      <c r="A390" s="768"/>
      <c r="B390" s="4"/>
      <c r="C390" s="768" t="s">
        <v>1885</v>
      </c>
      <c r="D390" s="508" t="s">
        <v>1392</v>
      </c>
      <c r="E390" s="508" t="s">
        <v>2234</v>
      </c>
      <c r="F390" s="577" t="s">
        <v>2194</v>
      </c>
      <c r="G390" s="508">
        <v>800</v>
      </c>
      <c r="H390" s="508">
        <v>1</v>
      </c>
      <c r="I390" s="579">
        <v>800</v>
      </c>
      <c r="J390" s="579">
        <v>31.330191828890158</v>
      </c>
      <c r="K390" s="500"/>
      <c r="L390" s="560"/>
      <c r="M390" s="572"/>
      <c r="N390" s="67"/>
      <c r="O390" s="67"/>
      <c r="P390" s="67"/>
      <c r="Q390" s="67"/>
      <c r="R390" s="67"/>
      <c r="S390" s="67"/>
      <c r="T390" s="67"/>
      <c r="U390" s="67"/>
      <c r="V390" s="67"/>
      <c r="W390" s="67"/>
      <c r="X390" s="67"/>
      <c r="Y390" s="67"/>
      <c r="Z390" s="67"/>
      <c r="AA390" s="4"/>
      <c r="AB390" s="4"/>
      <c r="AC390" s="4"/>
      <c r="AD390" s="4"/>
    </row>
    <row r="391" spans="1:30" ht="14.25" customHeight="1">
      <c r="A391" s="768"/>
      <c r="B391" s="4"/>
      <c r="C391" s="768" t="s">
        <v>1885</v>
      </c>
      <c r="D391" s="508" t="s">
        <v>1862</v>
      </c>
      <c r="E391" s="508" t="s">
        <v>2235</v>
      </c>
      <c r="F391" s="577" t="s">
        <v>2194</v>
      </c>
      <c r="G391" s="508">
        <v>1500</v>
      </c>
      <c r="H391" s="508">
        <v>1</v>
      </c>
      <c r="I391" s="579">
        <v>1500</v>
      </c>
      <c r="J391" s="579">
        <v>58.744109679169043</v>
      </c>
      <c r="K391" s="500"/>
      <c r="L391" s="560"/>
      <c r="M391" s="572"/>
      <c r="N391" s="67"/>
      <c r="O391" s="67"/>
      <c r="P391" s="67"/>
      <c r="Q391" s="67"/>
      <c r="R391" s="67"/>
      <c r="S391" s="67"/>
      <c r="T391" s="67"/>
      <c r="U391" s="67"/>
      <c r="V391" s="67"/>
      <c r="W391" s="67"/>
      <c r="X391" s="67"/>
      <c r="Y391" s="67"/>
      <c r="Z391" s="67"/>
      <c r="AA391" s="4"/>
      <c r="AB391" s="4"/>
      <c r="AC391" s="4"/>
      <c r="AD391" s="4"/>
    </row>
    <row r="392" spans="1:30" ht="14.25" customHeight="1">
      <c r="A392" s="768"/>
      <c r="B392" s="4"/>
      <c r="C392" s="768" t="s">
        <v>1885</v>
      </c>
      <c r="D392" s="508" t="s">
        <v>1862</v>
      </c>
      <c r="E392" s="508" t="s">
        <v>2236</v>
      </c>
      <c r="F392" s="577" t="s">
        <v>2194</v>
      </c>
      <c r="G392" s="508">
        <v>1500</v>
      </c>
      <c r="H392" s="508">
        <v>1</v>
      </c>
      <c r="I392" s="579">
        <v>1500</v>
      </c>
      <c r="J392" s="579">
        <v>58.744109679169043</v>
      </c>
      <c r="K392" s="500"/>
      <c r="L392" s="560"/>
      <c r="M392" s="572"/>
      <c r="N392" s="67"/>
      <c r="O392" s="67"/>
      <c r="P392" s="67"/>
      <c r="Q392" s="67"/>
      <c r="R392" s="67"/>
      <c r="S392" s="67"/>
      <c r="T392" s="67"/>
      <c r="U392" s="67"/>
      <c r="V392" s="67"/>
      <c r="W392" s="67"/>
      <c r="X392" s="67"/>
      <c r="Y392" s="67"/>
      <c r="Z392" s="67"/>
      <c r="AA392" s="4"/>
      <c r="AB392" s="4"/>
      <c r="AC392" s="4"/>
      <c r="AD392" s="4"/>
    </row>
    <row r="393" spans="1:30" ht="14.25" customHeight="1">
      <c r="A393" s="768"/>
      <c r="B393" s="4"/>
      <c r="C393" s="768" t="s">
        <v>1885</v>
      </c>
      <c r="D393" s="508" t="s">
        <v>1862</v>
      </c>
      <c r="E393" s="508" t="s">
        <v>2237</v>
      </c>
      <c r="F393" s="577" t="s">
        <v>2194</v>
      </c>
      <c r="G393" s="508">
        <v>300</v>
      </c>
      <c r="H393" s="508">
        <v>4</v>
      </c>
      <c r="I393" s="579">
        <v>1200</v>
      </c>
      <c r="J393" s="579">
        <v>46.995287743335233</v>
      </c>
      <c r="K393" s="500"/>
      <c r="L393" s="560"/>
      <c r="M393" s="572"/>
      <c r="N393" s="67"/>
      <c r="O393" s="67"/>
      <c r="P393" s="67"/>
      <c r="Q393" s="67"/>
      <c r="R393" s="67"/>
      <c r="S393" s="67"/>
      <c r="T393" s="67"/>
      <c r="U393" s="67"/>
      <c r="V393" s="67"/>
      <c r="W393" s="67"/>
      <c r="X393" s="67"/>
      <c r="Y393" s="67"/>
      <c r="Z393" s="67"/>
      <c r="AA393" s="4"/>
      <c r="AB393" s="4"/>
      <c r="AC393" s="4"/>
      <c r="AD393" s="4"/>
    </row>
    <row r="394" spans="1:30" ht="14.25" customHeight="1">
      <c r="A394" s="768"/>
      <c r="B394" s="4"/>
      <c r="C394" s="768" t="s">
        <v>1885</v>
      </c>
      <c r="D394" s="508" t="s">
        <v>1862</v>
      </c>
      <c r="E394" s="508" t="s">
        <v>2238</v>
      </c>
      <c r="F394" s="577" t="s">
        <v>2194</v>
      </c>
      <c r="G394" s="508">
        <v>800</v>
      </c>
      <c r="H394" s="508">
        <v>1</v>
      </c>
      <c r="I394" s="579">
        <v>800</v>
      </c>
      <c r="J394" s="579">
        <v>31.330191828890158</v>
      </c>
      <c r="K394" s="500"/>
      <c r="L394" s="560"/>
      <c r="M394" s="572"/>
      <c r="N394" s="67"/>
      <c r="O394" s="67"/>
      <c r="P394" s="67"/>
      <c r="Q394" s="67"/>
      <c r="R394" s="67"/>
      <c r="S394" s="67"/>
      <c r="T394" s="67"/>
      <c r="U394" s="67"/>
      <c r="V394" s="67"/>
      <c r="W394" s="67"/>
      <c r="X394" s="67"/>
      <c r="Y394" s="67"/>
      <c r="Z394" s="67"/>
      <c r="AA394" s="4"/>
      <c r="AB394" s="4"/>
      <c r="AC394" s="4"/>
      <c r="AD394" s="4"/>
    </row>
    <row r="395" spans="1:30" ht="14.25" customHeight="1">
      <c r="A395" s="768"/>
      <c r="B395" s="4"/>
      <c r="C395" s="768" t="s">
        <v>1885</v>
      </c>
      <c r="D395" s="508"/>
      <c r="E395" s="580" t="s">
        <v>2239</v>
      </c>
      <c r="F395" s="581"/>
      <c r="G395" s="508"/>
      <c r="H395" s="508"/>
      <c r="I395" s="579">
        <v>0</v>
      </c>
      <c r="J395" s="579">
        <v>0</v>
      </c>
      <c r="K395" s="500"/>
      <c r="L395" s="560"/>
      <c r="M395" s="572"/>
      <c r="N395" s="67"/>
      <c r="O395" s="67"/>
      <c r="P395" s="67"/>
      <c r="Q395" s="67"/>
      <c r="R395" s="67"/>
      <c r="S395" s="67"/>
      <c r="T395" s="67"/>
      <c r="U395" s="67"/>
      <c r="V395" s="67"/>
      <c r="W395" s="67"/>
      <c r="X395" s="67"/>
      <c r="Y395" s="67"/>
      <c r="Z395" s="67"/>
      <c r="AA395" s="4"/>
      <c r="AB395" s="4"/>
      <c r="AC395" s="4"/>
      <c r="AD395" s="4"/>
    </row>
    <row r="396" spans="1:30" ht="14.25" customHeight="1">
      <c r="A396" s="768"/>
      <c r="B396" s="4"/>
      <c r="C396" s="768" t="s">
        <v>1885</v>
      </c>
      <c r="D396" s="508" t="s">
        <v>1862</v>
      </c>
      <c r="E396" s="508" t="s">
        <v>2240</v>
      </c>
      <c r="F396" s="577" t="s">
        <v>2194</v>
      </c>
      <c r="G396" s="508">
        <v>7000</v>
      </c>
      <c r="H396" s="508">
        <v>1</v>
      </c>
      <c r="I396" s="579">
        <v>7000</v>
      </c>
      <c r="J396" s="579">
        <v>274.13917850278887</v>
      </c>
      <c r="K396" s="500"/>
      <c r="L396" s="560"/>
      <c r="M396" s="572"/>
      <c r="N396" s="67"/>
      <c r="O396" s="67"/>
      <c r="P396" s="67"/>
      <c r="Q396" s="67"/>
      <c r="R396" s="67"/>
      <c r="S396" s="67"/>
      <c r="T396" s="67"/>
      <c r="U396" s="67"/>
      <c r="V396" s="67"/>
      <c r="W396" s="67"/>
      <c r="X396" s="67"/>
      <c r="Y396" s="67"/>
      <c r="Z396" s="67"/>
      <c r="AA396" s="4"/>
      <c r="AB396" s="4"/>
      <c r="AC396" s="4"/>
      <c r="AD396" s="4"/>
    </row>
    <row r="397" spans="1:30" ht="14.25" customHeight="1">
      <c r="A397" s="768"/>
      <c r="B397" s="4"/>
      <c r="C397" s="768" t="s">
        <v>1885</v>
      </c>
      <c r="D397" s="508" t="s">
        <v>1392</v>
      </c>
      <c r="E397" s="508" t="s">
        <v>2241</v>
      </c>
      <c r="F397" s="577" t="s">
        <v>2194</v>
      </c>
      <c r="G397" s="508">
        <v>8000</v>
      </c>
      <c r="H397" s="508">
        <v>1</v>
      </c>
      <c r="I397" s="579">
        <v>8000</v>
      </c>
      <c r="J397" s="579">
        <v>313.30191828890156</v>
      </c>
      <c r="K397" s="500"/>
      <c r="L397" s="560"/>
      <c r="M397" s="572"/>
      <c r="N397" s="67"/>
      <c r="O397" s="67"/>
      <c r="P397" s="67"/>
      <c r="Q397" s="67"/>
      <c r="R397" s="67"/>
      <c r="S397" s="67"/>
      <c r="T397" s="67"/>
      <c r="U397" s="67"/>
      <c r="V397" s="67"/>
      <c r="W397" s="67"/>
      <c r="X397" s="67"/>
      <c r="Y397" s="67"/>
      <c r="Z397" s="67"/>
      <c r="AA397" s="4"/>
      <c r="AB397" s="4"/>
      <c r="AC397" s="4"/>
      <c r="AD397" s="4"/>
    </row>
    <row r="398" spans="1:30" ht="14.25" customHeight="1">
      <c r="A398" s="768"/>
      <c r="B398" s="4"/>
      <c r="C398" s="768" t="s">
        <v>1885</v>
      </c>
      <c r="D398" s="508" t="s">
        <v>1862</v>
      </c>
      <c r="E398" s="508" t="s">
        <v>2242</v>
      </c>
      <c r="F398" s="577" t="s">
        <v>2194</v>
      </c>
      <c r="G398" s="508">
        <v>1000</v>
      </c>
      <c r="H398" s="508">
        <v>1</v>
      </c>
      <c r="I398" s="579">
        <v>1000</v>
      </c>
      <c r="J398" s="579">
        <v>39.162739786112695</v>
      </c>
      <c r="K398" s="500"/>
      <c r="L398" s="560"/>
      <c r="M398" s="572"/>
      <c r="N398" s="67"/>
      <c r="O398" s="67"/>
      <c r="P398" s="67"/>
      <c r="Q398" s="67"/>
      <c r="R398" s="67"/>
      <c r="S398" s="67"/>
      <c r="T398" s="67"/>
      <c r="U398" s="67"/>
      <c r="V398" s="67"/>
      <c r="W398" s="67"/>
      <c r="X398" s="67"/>
      <c r="Y398" s="67"/>
      <c r="Z398" s="67"/>
      <c r="AA398" s="4"/>
      <c r="AB398" s="4"/>
      <c r="AC398" s="4"/>
      <c r="AD398" s="4"/>
    </row>
    <row r="399" spans="1:30" ht="14.25" customHeight="1">
      <c r="A399" s="768"/>
      <c r="B399" s="4"/>
      <c r="C399" s="768" t="s">
        <v>1885</v>
      </c>
      <c r="D399" s="508" t="s">
        <v>1392</v>
      </c>
      <c r="E399" s="508" t="s">
        <v>2243</v>
      </c>
      <c r="F399" s="577" t="s">
        <v>2194</v>
      </c>
      <c r="G399" s="508">
        <v>2000</v>
      </c>
      <c r="H399" s="508">
        <v>1</v>
      </c>
      <c r="I399" s="579">
        <v>2000</v>
      </c>
      <c r="J399" s="579">
        <v>78.32547957222539</v>
      </c>
      <c r="K399" s="500"/>
      <c r="L399" s="560"/>
      <c r="M399" s="572"/>
      <c r="N399" s="67"/>
      <c r="O399" s="67"/>
      <c r="P399" s="67"/>
      <c r="Q399" s="67"/>
      <c r="R399" s="67"/>
      <c r="S399" s="67"/>
      <c r="T399" s="67"/>
      <c r="U399" s="67"/>
      <c r="V399" s="67"/>
      <c r="W399" s="67"/>
      <c r="X399" s="67"/>
      <c r="Y399" s="67"/>
      <c r="Z399" s="67"/>
      <c r="AA399" s="4"/>
      <c r="AB399" s="4"/>
      <c r="AC399" s="4"/>
      <c r="AD399" s="4"/>
    </row>
    <row r="400" spans="1:30" ht="14.25" customHeight="1">
      <c r="A400" s="768"/>
      <c r="B400" s="4"/>
      <c r="C400" s="768" t="s">
        <v>1885</v>
      </c>
      <c r="D400" s="508" t="s">
        <v>1862</v>
      </c>
      <c r="E400" s="508" t="s">
        <v>2244</v>
      </c>
      <c r="F400" s="577" t="s">
        <v>2194</v>
      </c>
      <c r="G400" s="508">
        <v>1500</v>
      </c>
      <c r="H400" s="508">
        <v>1</v>
      </c>
      <c r="I400" s="579">
        <v>1500</v>
      </c>
      <c r="J400" s="579">
        <v>58.744109679169043</v>
      </c>
      <c r="K400" s="500"/>
      <c r="L400" s="560"/>
      <c r="M400" s="572"/>
      <c r="N400" s="67"/>
      <c r="O400" s="67"/>
      <c r="P400" s="67"/>
      <c r="Q400" s="67"/>
      <c r="R400" s="67"/>
      <c r="S400" s="67"/>
      <c r="T400" s="67"/>
      <c r="U400" s="67"/>
      <c r="V400" s="67"/>
      <c r="W400" s="67"/>
      <c r="X400" s="67"/>
      <c r="Y400" s="67"/>
      <c r="Z400" s="67"/>
      <c r="AA400" s="4"/>
      <c r="AB400" s="4"/>
      <c r="AC400" s="4"/>
      <c r="AD400" s="4"/>
    </row>
    <row r="401" spans="1:30" ht="14.25" customHeight="1">
      <c r="A401" s="768"/>
      <c r="B401" s="4"/>
      <c r="C401" s="768" t="s">
        <v>1885</v>
      </c>
      <c r="D401" s="508" t="s">
        <v>1862</v>
      </c>
      <c r="E401" s="508" t="s">
        <v>2205</v>
      </c>
      <c r="F401" s="577" t="s">
        <v>2194</v>
      </c>
      <c r="G401" s="508">
        <v>500</v>
      </c>
      <c r="H401" s="508">
        <v>2</v>
      </c>
      <c r="I401" s="579">
        <v>1000</v>
      </c>
      <c r="J401" s="579">
        <v>39.162739786112695</v>
      </c>
      <c r="K401" s="500"/>
      <c r="L401" s="560"/>
      <c r="M401" s="572"/>
      <c r="N401" s="67"/>
      <c r="O401" s="67"/>
      <c r="P401" s="67"/>
      <c r="Q401" s="67"/>
      <c r="R401" s="67"/>
      <c r="S401" s="67"/>
      <c r="T401" s="67"/>
      <c r="U401" s="67"/>
      <c r="V401" s="67"/>
      <c r="W401" s="67"/>
      <c r="X401" s="67"/>
      <c r="Y401" s="67"/>
      <c r="Z401" s="67"/>
      <c r="AA401" s="4"/>
      <c r="AB401" s="4"/>
      <c r="AC401" s="4"/>
      <c r="AD401" s="4"/>
    </row>
    <row r="402" spans="1:30" ht="14.25" customHeight="1">
      <c r="A402" s="768"/>
      <c r="B402" s="4"/>
      <c r="C402" s="768" t="s">
        <v>1885</v>
      </c>
      <c r="D402" s="508" t="s">
        <v>1862</v>
      </c>
      <c r="E402" s="508" t="s">
        <v>2245</v>
      </c>
      <c r="F402" s="577" t="s">
        <v>2194</v>
      </c>
      <c r="G402" s="508">
        <v>1500</v>
      </c>
      <c r="H402" s="508">
        <v>1</v>
      </c>
      <c r="I402" s="579">
        <v>1500</v>
      </c>
      <c r="J402" s="579">
        <v>58.744109679169043</v>
      </c>
      <c r="K402" s="500"/>
      <c r="L402" s="560"/>
      <c r="M402" s="572"/>
      <c r="N402" s="67"/>
      <c r="O402" s="67"/>
      <c r="P402" s="67"/>
      <c r="Q402" s="67"/>
      <c r="R402" s="67"/>
      <c r="S402" s="67"/>
      <c r="T402" s="67"/>
      <c r="U402" s="67"/>
      <c r="V402" s="67"/>
      <c r="W402" s="67"/>
      <c r="X402" s="67"/>
      <c r="Y402" s="67"/>
      <c r="Z402" s="67"/>
      <c r="AA402" s="4"/>
      <c r="AB402" s="4"/>
      <c r="AC402" s="4"/>
      <c r="AD402" s="4"/>
    </row>
    <row r="403" spans="1:30" ht="14.25" customHeight="1">
      <c r="A403" s="768"/>
      <c r="B403" s="4"/>
      <c r="C403" s="768" t="s">
        <v>1885</v>
      </c>
      <c r="D403" s="508" t="s">
        <v>1862</v>
      </c>
      <c r="E403" s="508" t="s">
        <v>2246</v>
      </c>
      <c r="F403" s="577" t="s">
        <v>2194</v>
      </c>
      <c r="G403" s="508">
        <v>4000</v>
      </c>
      <c r="H403" s="508">
        <v>1</v>
      </c>
      <c r="I403" s="579">
        <v>4000</v>
      </c>
      <c r="J403" s="579">
        <v>156.65095914445078</v>
      </c>
      <c r="K403" s="500"/>
      <c r="L403" s="560"/>
      <c r="M403" s="572"/>
      <c r="N403" s="67"/>
      <c r="O403" s="67"/>
      <c r="P403" s="67"/>
      <c r="Q403" s="67"/>
      <c r="R403" s="67"/>
      <c r="S403" s="67"/>
      <c r="T403" s="67"/>
      <c r="U403" s="67"/>
      <c r="V403" s="67"/>
      <c r="W403" s="67"/>
      <c r="X403" s="67"/>
      <c r="Y403" s="67"/>
      <c r="Z403" s="67"/>
      <c r="AA403" s="4"/>
      <c r="AB403" s="4"/>
      <c r="AC403" s="4"/>
      <c r="AD403" s="4"/>
    </row>
    <row r="404" spans="1:30" ht="14.25" customHeight="1">
      <c r="A404" s="768"/>
      <c r="B404" s="4"/>
      <c r="C404" s="768" t="s">
        <v>1885</v>
      </c>
      <c r="D404" s="508"/>
      <c r="E404" s="580" t="s">
        <v>2247</v>
      </c>
      <c r="F404" s="581"/>
      <c r="G404" s="508"/>
      <c r="H404" s="508"/>
      <c r="I404" s="579">
        <v>0</v>
      </c>
      <c r="J404" s="579">
        <v>0</v>
      </c>
      <c r="K404" s="500"/>
      <c r="L404" s="560"/>
      <c r="M404" s="572"/>
      <c r="N404" s="67"/>
      <c r="O404" s="67"/>
      <c r="P404" s="67"/>
      <c r="Q404" s="67"/>
      <c r="R404" s="67"/>
      <c r="S404" s="67"/>
      <c r="T404" s="67"/>
      <c r="U404" s="67"/>
      <c r="V404" s="67"/>
      <c r="W404" s="67"/>
      <c r="X404" s="67"/>
      <c r="Y404" s="67"/>
      <c r="Z404" s="67"/>
      <c r="AA404" s="4"/>
      <c r="AB404" s="4"/>
      <c r="AC404" s="4"/>
      <c r="AD404" s="4"/>
    </row>
    <row r="405" spans="1:30" ht="14.25" customHeight="1">
      <c r="A405" s="768"/>
      <c r="B405" s="4"/>
      <c r="C405" s="768" t="s">
        <v>1885</v>
      </c>
      <c r="D405" s="508" t="s">
        <v>1862</v>
      </c>
      <c r="E405" s="508" t="s">
        <v>2278</v>
      </c>
      <c r="F405" s="577" t="s">
        <v>2194</v>
      </c>
      <c r="G405" s="508">
        <v>1200</v>
      </c>
      <c r="H405" s="508">
        <v>2</v>
      </c>
      <c r="I405" s="579">
        <v>2400</v>
      </c>
      <c r="J405" s="579">
        <v>93.990575486670465</v>
      </c>
      <c r="K405" s="500"/>
      <c r="L405" s="560"/>
      <c r="M405" s="572"/>
      <c r="N405" s="67"/>
      <c r="O405" s="67"/>
      <c r="P405" s="67"/>
      <c r="Q405" s="67"/>
      <c r="R405" s="67"/>
      <c r="S405" s="67"/>
      <c r="T405" s="67"/>
      <c r="U405" s="67"/>
      <c r="V405" s="67"/>
      <c r="W405" s="67"/>
      <c r="X405" s="67"/>
      <c r="Y405" s="67"/>
      <c r="Z405" s="67"/>
      <c r="AA405" s="4"/>
      <c r="AB405" s="4"/>
      <c r="AC405" s="4"/>
      <c r="AD405" s="4"/>
    </row>
    <row r="406" spans="1:30" ht="14.25" customHeight="1">
      <c r="A406" s="768"/>
      <c r="B406" s="4"/>
      <c r="C406" s="768" t="s">
        <v>1885</v>
      </c>
      <c r="D406" s="508" t="s">
        <v>1862</v>
      </c>
      <c r="E406" s="508" t="s">
        <v>2279</v>
      </c>
      <c r="F406" s="577" t="s">
        <v>2194</v>
      </c>
      <c r="G406" s="508">
        <v>250</v>
      </c>
      <c r="H406" s="508">
        <v>2</v>
      </c>
      <c r="I406" s="579">
        <v>500</v>
      </c>
      <c r="J406" s="579">
        <v>19.581369893056348</v>
      </c>
      <c r="K406" s="500"/>
      <c r="L406" s="560"/>
      <c r="M406" s="572"/>
      <c r="N406" s="67"/>
      <c r="O406" s="67"/>
      <c r="P406" s="67"/>
      <c r="Q406" s="67"/>
      <c r="R406" s="67"/>
      <c r="S406" s="67"/>
      <c r="T406" s="67"/>
      <c r="U406" s="67"/>
      <c r="V406" s="67"/>
      <c r="W406" s="67"/>
      <c r="X406" s="67"/>
      <c r="Y406" s="67"/>
      <c r="Z406" s="67"/>
      <c r="AA406" s="4"/>
      <c r="AB406" s="4"/>
      <c r="AC406" s="4"/>
      <c r="AD406" s="4"/>
    </row>
    <row r="407" spans="1:30" ht="14.25" customHeight="1">
      <c r="A407" s="768"/>
      <c r="B407" s="4"/>
      <c r="C407" s="768" t="s">
        <v>1885</v>
      </c>
      <c r="D407" s="508" t="s">
        <v>1862</v>
      </c>
      <c r="E407" s="508" t="s">
        <v>2280</v>
      </c>
      <c r="F407" s="577" t="s">
        <v>2194</v>
      </c>
      <c r="G407" s="508">
        <v>1000</v>
      </c>
      <c r="H407" s="508">
        <v>2</v>
      </c>
      <c r="I407" s="579">
        <v>2000</v>
      </c>
      <c r="J407" s="579">
        <v>78.32547957222539</v>
      </c>
      <c r="K407" s="500"/>
      <c r="L407" s="560"/>
      <c r="M407" s="572"/>
      <c r="N407" s="67"/>
      <c r="O407" s="67"/>
      <c r="P407" s="67"/>
      <c r="Q407" s="67"/>
      <c r="R407" s="67"/>
      <c r="S407" s="67"/>
      <c r="T407" s="67"/>
      <c r="U407" s="67"/>
      <c r="V407" s="67"/>
      <c r="W407" s="67"/>
      <c r="X407" s="67"/>
      <c r="Y407" s="67"/>
      <c r="Z407" s="67"/>
      <c r="AA407" s="4"/>
      <c r="AB407" s="4"/>
      <c r="AC407" s="4"/>
      <c r="AD407" s="4"/>
    </row>
    <row r="408" spans="1:30" ht="14.25" customHeight="1">
      <c r="A408" s="768"/>
      <c r="B408" s="4"/>
      <c r="C408" s="768" t="s">
        <v>1885</v>
      </c>
      <c r="D408" s="508" t="s">
        <v>1862</v>
      </c>
      <c r="E408" s="508" t="s">
        <v>2281</v>
      </c>
      <c r="F408" s="577" t="s">
        <v>2194</v>
      </c>
      <c r="G408" s="508">
        <v>300</v>
      </c>
      <c r="H408" s="508">
        <v>2</v>
      </c>
      <c r="I408" s="579">
        <v>600</v>
      </c>
      <c r="J408" s="579">
        <v>23.497643871667616</v>
      </c>
      <c r="K408" s="500"/>
      <c r="L408" s="560"/>
      <c r="M408" s="572"/>
      <c r="N408" s="67"/>
      <c r="O408" s="67"/>
      <c r="P408" s="67"/>
      <c r="Q408" s="67"/>
      <c r="R408" s="67"/>
      <c r="S408" s="67"/>
      <c r="T408" s="67"/>
      <c r="U408" s="67"/>
      <c r="V408" s="67"/>
      <c r="W408" s="67"/>
      <c r="X408" s="67"/>
      <c r="Y408" s="67"/>
      <c r="Z408" s="67"/>
      <c r="AA408" s="4"/>
      <c r="AB408" s="4"/>
      <c r="AC408" s="4"/>
      <c r="AD408" s="4"/>
    </row>
    <row r="409" spans="1:30" ht="14.25" customHeight="1">
      <c r="A409" s="768"/>
      <c r="B409" s="4"/>
      <c r="C409" s="768" t="s">
        <v>1885</v>
      </c>
      <c r="D409" s="508" t="s">
        <v>1862</v>
      </c>
      <c r="E409" s="508" t="s">
        <v>2282</v>
      </c>
      <c r="F409" s="577" t="s">
        <v>2213</v>
      </c>
      <c r="G409" s="508">
        <v>1000</v>
      </c>
      <c r="H409" s="508">
        <v>2</v>
      </c>
      <c r="I409" s="579">
        <v>2000</v>
      </c>
      <c r="J409" s="579">
        <v>78.32547957222539</v>
      </c>
      <c r="K409" s="500"/>
      <c r="L409" s="560"/>
      <c r="M409" s="572"/>
      <c r="N409" s="67"/>
      <c r="O409" s="67"/>
      <c r="P409" s="67"/>
      <c r="Q409" s="67"/>
      <c r="R409" s="67"/>
      <c r="S409" s="67"/>
      <c r="T409" s="67"/>
      <c r="U409" s="67"/>
      <c r="V409" s="67"/>
      <c r="W409" s="67"/>
      <c r="X409" s="67"/>
      <c r="Y409" s="67"/>
      <c r="Z409" s="67"/>
      <c r="AA409" s="4"/>
      <c r="AB409" s="4"/>
      <c r="AC409" s="4"/>
      <c r="AD409" s="4"/>
    </row>
    <row r="410" spans="1:30" ht="14.25" customHeight="1">
      <c r="A410" s="768"/>
      <c r="B410" s="4"/>
      <c r="C410" s="768" t="s">
        <v>1885</v>
      </c>
      <c r="D410" s="508" t="s">
        <v>1862</v>
      </c>
      <c r="E410" s="508" t="s">
        <v>2283</v>
      </c>
      <c r="F410" s="577" t="s">
        <v>2213</v>
      </c>
      <c r="G410" s="508">
        <v>500</v>
      </c>
      <c r="H410" s="508">
        <v>2</v>
      </c>
      <c r="I410" s="579">
        <v>1000</v>
      </c>
      <c r="J410" s="579">
        <v>39.162739786112695</v>
      </c>
      <c r="K410" s="500"/>
      <c r="L410" s="560"/>
      <c r="M410" s="572"/>
      <c r="N410" s="67"/>
      <c r="O410" s="67"/>
      <c r="P410" s="67"/>
      <c r="Q410" s="67"/>
      <c r="R410" s="67"/>
      <c r="S410" s="67"/>
      <c r="T410" s="67"/>
      <c r="U410" s="67"/>
      <c r="V410" s="67"/>
      <c r="W410" s="67"/>
      <c r="X410" s="67"/>
      <c r="Y410" s="67"/>
      <c r="Z410" s="67"/>
      <c r="AA410" s="4"/>
      <c r="AB410" s="4"/>
      <c r="AC410" s="4"/>
      <c r="AD410" s="4"/>
    </row>
    <row r="411" spans="1:30" ht="14.25" customHeight="1">
      <c r="A411" s="768"/>
      <c r="B411" s="4"/>
      <c r="C411" s="768" t="s">
        <v>1885</v>
      </c>
      <c r="D411" s="508" t="s">
        <v>1862</v>
      </c>
      <c r="E411" s="582" t="s">
        <v>2284</v>
      </c>
      <c r="F411" s="577" t="s">
        <v>2213</v>
      </c>
      <c r="G411" s="508">
        <v>200</v>
      </c>
      <c r="H411" s="508">
        <v>2</v>
      </c>
      <c r="I411" s="579">
        <v>400</v>
      </c>
      <c r="J411" s="579">
        <v>15.665095914445079</v>
      </c>
      <c r="K411" s="500"/>
      <c r="L411" s="560"/>
      <c r="M411" s="572"/>
      <c r="N411" s="67"/>
      <c r="O411" s="67"/>
      <c r="P411" s="67"/>
      <c r="Q411" s="67"/>
      <c r="R411" s="67"/>
      <c r="S411" s="67"/>
      <c r="T411" s="67"/>
      <c r="U411" s="67"/>
      <c r="V411" s="67"/>
      <c r="W411" s="67"/>
      <c r="X411" s="67"/>
      <c r="Y411" s="67"/>
      <c r="Z411" s="67"/>
      <c r="AA411" s="4"/>
      <c r="AB411" s="4"/>
      <c r="AC411" s="4"/>
      <c r="AD411" s="4"/>
    </row>
    <row r="412" spans="1:30" ht="14.25" customHeight="1">
      <c r="A412" s="768"/>
      <c r="B412" s="4"/>
      <c r="C412" s="768" t="s">
        <v>1885</v>
      </c>
      <c r="D412" s="508" t="s">
        <v>1862</v>
      </c>
      <c r="E412" s="508" t="s">
        <v>2285</v>
      </c>
      <c r="F412" s="577" t="s">
        <v>2213</v>
      </c>
      <c r="G412" s="508">
        <v>100</v>
      </c>
      <c r="H412" s="508">
        <v>2</v>
      </c>
      <c r="I412" s="579">
        <v>200</v>
      </c>
      <c r="J412" s="579">
        <v>7.8325479572225394</v>
      </c>
      <c r="K412" s="500"/>
      <c r="L412" s="560"/>
      <c r="M412" s="572"/>
      <c r="N412" s="67"/>
      <c r="O412" s="67"/>
      <c r="P412" s="67"/>
      <c r="Q412" s="67"/>
      <c r="R412" s="67"/>
      <c r="S412" s="67"/>
      <c r="T412" s="67"/>
      <c r="U412" s="67"/>
      <c r="V412" s="67"/>
      <c r="W412" s="67"/>
      <c r="X412" s="67"/>
      <c r="Y412" s="67"/>
      <c r="Z412" s="67"/>
      <c r="AA412" s="4"/>
      <c r="AB412" s="4"/>
      <c r="AC412" s="4"/>
      <c r="AD412" s="4"/>
    </row>
    <row r="413" spans="1:30" ht="14.25" customHeight="1">
      <c r="A413" s="768"/>
      <c r="B413" s="4"/>
      <c r="C413" s="768" t="s">
        <v>1885</v>
      </c>
      <c r="D413" s="508" t="s">
        <v>1862</v>
      </c>
      <c r="E413" s="573" t="s">
        <v>2257</v>
      </c>
      <c r="F413" s="581"/>
      <c r="G413" s="508"/>
      <c r="H413" s="508"/>
      <c r="I413" s="579">
        <v>0</v>
      </c>
      <c r="J413" s="579">
        <v>0</v>
      </c>
      <c r="K413" s="500"/>
      <c r="L413" s="560"/>
      <c r="M413" s="572"/>
      <c r="N413" s="67"/>
      <c r="O413" s="67"/>
      <c r="P413" s="67"/>
      <c r="Q413" s="67"/>
      <c r="R413" s="67"/>
      <c r="S413" s="67"/>
      <c r="T413" s="67"/>
      <c r="U413" s="67"/>
      <c r="V413" s="67"/>
      <c r="W413" s="67"/>
      <c r="X413" s="67"/>
      <c r="Y413" s="67"/>
      <c r="Z413" s="67"/>
      <c r="AA413" s="4"/>
      <c r="AB413" s="4"/>
      <c r="AC413" s="4"/>
      <c r="AD413" s="4"/>
    </row>
    <row r="414" spans="1:30" ht="14.25" customHeight="1">
      <c r="A414" s="768"/>
      <c r="B414" s="4"/>
      <c r="C414" s="768" t="s">
        <v>1885</v>
      </c>
      <c r="D414" s="508" t="s">
        <v>1862</v>
      </c>
      <c r="E414" s="508" t="s">
        <v>2258</v>
      </c>
      <c r="F414" s="577" t="s">
        <v>2194</v>
      </c>
      <c r="G414" s="508">
        <v>3000</v>
      </c>
      <c r="H414" s="508">
        <v>2</v>
      </c>
      <c r="I414" s="579">
        <v>6000</v>
      </c>
      <c r="J414" s="579">
        <v>234.97643871667617</v>
      </c>
      <c r="K414" s="500"/>
      <c r="L414" s="560"/>
      <c r="M414" s="572"/>
      <c r="N414" s="67"/>
      <c r="O414" s="67"/>
      <c r="P414" s="67"/>
      <c r="Q414" s="67"/>
      <c r="R414" s="67"/>
      <c r="S414" s="67"/>
      <c r="T414" s="67"/>
      <c r="U414" s="67"/>
      <c r="V414" s="67"/>
      <c r="W414" s="67"/>
      <c r="X414" s="67"/>
      <c r="Y414" s="67"/>
      <c r="Z414" s="67"/>
      <c r="AA414" s="4"/>
      <c r="AB414" s="4"/>
      <c r="AC414" s="4"/>
      <c r="AD414" s="4"/>
    </row>
    <row r="415" spans="1:30" ht="14.25" customHeight="1">
      <c r="A415" s="768"/>
      <c r="B415" s="4"/>
      <c r="C415" s="768" t="s">
        <v>1885</v>
      </c>
      <c r="D415" s="508" t="s">
        <v>1862</v>
      </c>
      <c r="E415" s="508" t="s">
        <v>2205</v>
      </c>
      <c r="F415" s="577" t="s">
        <v>2194</v>
      </c>
      <c r="G415" s="508">
        <v>2000</v>
      </c>
      <c r="H415" s="508">
        <v>2</v>
      </c>
      <c r="I415" s="579">
        <v>4000</v>
      </c>
      <c r="J415" s="579">
        <v>156.65095914445078</v>
      </c>
      <c r="K415" s="500"/>
      <c r="L415" s="560"/>
      <c r="M415" s="572"/>
      <c r="N415" s="67"/>
      <c r="O415" s="67"/>
      <c r="P415" s="67"/>
      <c r="Q415" s="67"/>
      <c r="R415" s="67"/>
      <c r="S415" s="67"/>
      <c r="T415" s="67"/>
      <c r="U415" s="67"/>
      <c r="V415" s="67"/>
      <c r="W415" s="67"/>
      <c r="X415" s="67"/>
      <c r="Y415" s="67"/>
      <c r="Z415" s="67"/>
      <c r="AA415" s="4"/>
      <c r="AB415" s="4"/>
      <c r="AC415" s="4"/>
      <c r="AD415" s="4"/>
    </row>
    <row r="416" spans="1:30" ht="14.25" customHeight="1">
      <c r="A416" s="768"/>
      <c r="B416" s="4"/>
      <c r="C416" s="768" t="s">
        <v>1885</v>
      </c>
      <c r="D416" s="508" t="s">
        <v>1862</v>
      </c>
      <c r="E416" s="508" t="s">
        <v>2259</v>
      </c>
      <c r="F416" s="577" t="s">
        <v>2194</v>
      </c>
      <c r="G416" s="508">
        <v>1500</v>
      </c>
      <c r="H416" s="508">
        <v>2</v>
      </c>
      <c r="I416" s="579">
        <v>3000</v>
      </c>
      <c r="J416" s="579">
        <v>117.48821935833809</v>
      </c>
      <c r="K416" s="500"/>
      <c r="L416" s="560"/>
      <c r="M416" s="572"/>
      <c r="N416" s="67"/>
      <c r="O416" s="67"/>
      <c r="P416" s="67"/>
      <c r="Q416" s="67"/>
      <c r="R416" s="67"/>
      <c r="S416" s="67"/>
      <c r="T416" s="67"/>
      <c r="U416" s="67"/>
      <c r="V416" s="67"/>
      <c r="W416" s="67"/>
      <c r="X416" s="67"/>
      <c r="Y416" s="67"/>
      <c r="Z416" s="67"/>
      <c r="AA416" s="4"/>
      <c r="AB416" s="4"/>
      <c r="AC416" s="4"/>
      <c r="AD416" s="4"/>
    </row>
    <row r="417" spans="1:30" ht="14.25" customHeight="1">
      <c r="A417" s="768"/>
      <c r="B417" s="4"/>
      <c r="C417" s="768" t="s">
        <v>1885</v>
      </c>
      <c r="D417" s="508" t="s">
        <v>1862</v>
      </c>
      <c r="E417" s="508" t="s">
        <v>2260</v>
      </c>
      <c r="F417" s="577" t="s">
        <v>2194</v>
      </c>
      <c r="G417" s="508">
        <v>4500</v>
      </c>
      <c r="H417" s="508">
        <v>1</v>
      </c>
      <c r="I417" s="579">
        <v>4500</v>
      </c>
      <c r="J417" s="579">
        <v>176.23232903750713</v>
      </c>
      <c r="K417" s="500"/>
      <c r="L417" s="560"/>
      <c r="M417" s="572"/>
      <c r="N417" s="67"/>
      <c r="O417" s="67"/>
      <c r="P417" s="67"/>
      <c r="Q417" s="67"/>
      <c r="R417" s="67"/>
      <c r="S417" s="67"/>
      <c r="T417" s="67"/>
      <c r="U417" s="67"/>
      <c r="V417" s="67"/>
      <c r="W417" s="67"/>
      <c r="X417" s="67"/>
      <c r="Y417" s="67"/>
      <c r="Z417" s="67"/>
      <c r="AA417" s="4"/>
      <c r="AB417" s="4"/>
      <c r="AC417" s="4"/>
      <c r="AD417" s="4"/>
    </row>
    <row r="418" spans="1:30" ht="14.25" customHeight="1">
      <c r="A418" s="768"/>
      <c r="B418" s="4"/>
      <c r="C418" s="768" t="s">
        <v>1885</v>
      </c>
      <c r="D418" s="508" t="s">
        <v>1862</v>
      </c>
      <c r="E418" s="508" t="s">
        <v>2261</v>
      </c>
      <c r="F418" s="577" t="s">
        <v>2194</v>
      </c>
      <c r="G418" s="508">
        <v>4000</v>
      </c>
      <c r="H418" s="508">
        <v>1</v>
      </c>
      <c r="I418" s="579">
        <v>4000</v>
      </c>
      <c r="J418" s="579">
        <v>156.65095914445078</v>
      </c>
      <c r="K418" s="500"/>
      <c r="L418" s="560"/>
      <c r="M418" s="572"/>
      <c r="N418" s="67"/>
      <c r="O418" s="67"/>
      <c r="P418" s="67"/>
      <c r="Q418" s="67"/>
      <c r="R418" s="67"/>
      <c r="S418" s="67"/>
      <c r="T418" s="67"/>
      <c r="U418" s="67"/>
      <c r="V418" s="67"/>
      <c r="W418" s="67"/>
      <c r="X418" s="67"/>
      <c r="Y418" s="67"/>
      <c r="Z418" s="67"/>
      <c r="AA418" s="4"/>
      <c r="AB418" s="4"/>
      <c r="AC418" s="4"/>
      <c r="AD418" s="4"/>
    </row>
    <row r="419" spans="1:30" ht="14.25" customHeight="1">
      <c r="A419" s="768"/>
      <c r="B419" s="4"/>
      <c r="C419" s="768" t="s">
        <v>1885</v>
      </c>
      <c r="D419" s="508" t="s">
        <v>1392</v>
      </c>
      <c r="E419" s="508" t="s">
        <v>2262</v>
      </c>
      <c r="F419" s="577" t="s">
        <v>2194</v>
      </c>
      <c r="G419" s="508">
        <v>1000</v>
      </c>
      <c r="H419" s="508">
        <v>1</v>
      </c>
      <c r="I419" s="579">
        <v>1000</v>
      </c>
      <c r="J419" s="579">
        <v>39.162739786112695</v>
      </c>
      <c r="K419" s="500"/>
      <c r="L419" s="560"/>
      <c r="M419" s="572"/>
      <c r="N419" s="67"/>
      <c r="O419" s="67"/>
      <c r="P419" s="67"/>
      <c r="Q419" s="67"/>
      <c r="R419" s="67"/>
      <c r="S419" s="67"/>
      <c r="T419" s="67"/>
      <c r="U419" s="67"/>
      <c r="V419" s="67"/>
      <c r="W419" s="67"/>
      <c r="X419" s="67"/>
      <c r="Y419" s="67"/>
      <c r="Z419" s="67"/>
      <c r="AA419" s="4"/>
      <c r="AB419" s="4"/>
      <c r="AC419" s="4"/>
      <c r="AD419" s="4"/>
    </row>
    <row r="420" spans="1:30" ht="14.25" customHeight="1">
      <c r="A420" s="768"/>
      <c r="B420" s="4"/>
      <c r="C420" s="768" t="s">
        <v>1885</v>
      </c>
      <c r="D420" s="508" t="s">
        <v>1392</v>
      </c>
      <c r="E420" s="582" t="s">
        <v>2263</v>
      </c>
      <c r="F420" s="577" t="s">
        <v>2194</v>
      </c>
      <c r="G420" s="508">
        <v>6000</v>
      </c>
      <c r="H420" s="508">
        <v>1</v>
      </c>
      <c r="I420" s="579">
        <v>6000</v>
      </c>
      <c r="J420" s="579">
        <v>234.97643871667617</v>
      </c>
      <c r="K420" s="500"/>
      <c r="L420" s="560"/>
      <c r="M420" s="572"/>
      <c r="N420" s="67"/>
      <c r="O420" s="67"/>
      <c r="P420" s="67"/>
      <c r="Q420" s="67"/>
      <c r="R420" s="67"/>
      <c r="S420" s="67"/>
      <c r="T420" s="67"/>
      <c r="U420" s="67"/>
      <c r="V420" s="67"/>
      <c r="W420" s="67"/>
      <c r="X420" s="67"/>
      <c r="Y420" s="67"/>
      <c r="Z420" s="67"/>
      <c r="AA420" s="4"/>
      <c r="AB420" s="4"/>
      <c r="AC420" s="4"/>
      <c r="AD420" s="4"/>
    </row>
    <row r="421" spans="1:30" ht="14.25" customHeight="1">
      <c r="A421" s="768"/>
      <c r="B421" s="4"/>
      <c r="C421" s="768" t="s">
        <v>1885</v>
      </c>
      <c r="D421" s="508" t="s">
        <v>1392</v>
      </c>
      <c r="E421" s="508" t="s">
        <v>2264</v>
      </c>
      <c r="F421" s="577" t="s">
        <v>2194</v>
      </c>
      <c r="G421" s="508">
        <v>15000</v>
      </c>
      <c r="H421" s="508">
        <v>2</v>
      </c>
      <c r="I421" s="579">
        <v>30000</v>
      </c>
      <c r="J421" s="579">
        <v>1174.882193583381</v>
      </c>
      <c r="K421" s="500"/>
      <c r="L421" s="560"/>
      <c r="M421" s="572"/>
      <c r="N421" s="67"/>
      <c r="O421" s="67"/>
      <c r="P421" s="67"/>
      <c r="Q421" s="67"/>
      <c r="R421" s="67"/>
      <c r="S421" s="67"/>
      <c r="T421" s="67"/>
      <c r="U421" s="67"/>
      <c r="V421" s="67"/>
      <c r="W421" s="67"/>
      <c r="X421" s="67"/>
      <c r="Y421" s="67"/>
      <c r="Z421" s="67"/>
      <c r="AA421" s="4"/>
      <c r="AB421" s="4"/>
      <c r="AC421" s="4"/>
      <c r="AD421" s="4"/>
    </row>
    <row r="422" spans="1:30" ht="14.25" customHeight="1">
      <c r="A422" s="768"/>
      <c r="B422" s="4"/>
      <c r="C422" s="768" t="s">
        <v>1885</v>
      </c>
      <c r="D422" s="508" t="s">
        <v>1392</v>
      </c>
      <c r="E422" s="508" t="s">
        <v>2265</v>
      </c>
      <c r="F422" s="577" t="s">
        <v>2194</v>
      </c>
      <c r="G422" s="508">
        <v>10000</v>
      </c>
      <c r="H422" s="508">
        <v>1</v>
      </c>
      <c r="I422" s="579">
        <v>10000</v>
      </c>
      <c r="J422" s="579">
        <v>391.62739786112695</v>
      </c>
      <c r="K422" s="500"/>
      <c r="L422" s="560"/>
      <c r="M422" s="572"/>
      <c r="N422" s="67"/>
      <c r="O422" s="67"/>
      <c r="P422" s="67"/>
      <c r="Q422" s="67"/>
      <c r="R422" s="67"/>
      <c r="S422" s="67"/>
      <c r="T422" s="67"/>
      <c r="U422" s="67"/>
      <c r="V422" s="67"/>
      <c r="W422" s="67"/>
      <c r="X422" s="67"/>
      <c r="Y422" s="67"/>
      <c r="Z422" s="67"/>
      <c r="AA422" s="4"/>
      <c r="AB422" s="4"/>
      <c r="AC422" s="4"/>
      <c r="AD422" s="4"/>
    </row>
    <row r="423" spans="1:30" ht="14.25" customHeight="1">
      <c r="A423" s="768"/>
      <c r="B423" s="4"/>
      <c r="C423" s="768" t="s">
        <v>1885</v>
      </c>
      <c r="D423" s="508"/>
      <c r="E423" s="580" t="s">
        <v>2266</v>
      </c>
      <c r="F423" s="581"/>
      <c r="G423" s="508"/>
      <c r="H423" s="508"/>
      <c r="I423" s="579">
        <v>0</v>
      </c>
      <c r="J423" s="579">
        <v>0</v>
      </c>
      <c r="K423" s="500"/>
      <c r="L423" s="560"/>
      <c r="M423" s="572"/>
      <c r="N423" s="67"/>
      <c r="O423" s="67"/>
      <c r="P423" s="67"/>
      <c r="Q423" s="67"/>
      <c r="R423" s="67"/>
      <c r="S423" s="67"/>
      <c r="T423" s="67"/>
      <c r="U423" s="67"/>
      <c r="V423" s="67"/>
      <c r="W423" s="67"/>
      <c r="X423" s="67"/>
      <c r="Y423" s="67"/>
      <c r="Z423" s="67"/>
      <c r="AA423" s="4"/>
      <c r="AB423" s="4"/>
      <c r="AC423" s="4"/>
      <c r="AD423" s="4"/>
    </row>
    <row r="424" spans="1:30" ht="14.25" customHeight="1">
      <c r="A424" s="768"/>
      <c r="B424" s="4"/>
      <c r="C424" s="768" t="s">
        <v>1885</v>
      </c>
      <c r="D424" s="508" t="s">
        <v>1862</v>
      </c>
      <c r="E424" s="508" t="s">
        <v>2267</v>
      </c>
      <c r="F424" s="577" t="s">
        <v>2194</v>
      </c>
      <c r="G424" s="508">
        <v>2500</v>
      </c>
      <c r="H424" s="508">
        <v>2</v>
      </c>
      <c r="I424" s="579">
        <v>5000</v>
      </c>
      <c r="J424" s="579">
        <v>195.81369893056348</v>
      </c>
      <c r="K424" s="500"/>
      <c r="L424" s="560"/>
      <c r="M424" s="572"/>
      <c r="N424" s="67"/>
      <c r="O424" s="67"/>
      <c r="P424" s="67"/>
      <c r="Q424" s="67"/>
      <c r="R424" s="67"/>
      <c r="S424" s="67"/>
      <c r="T424" s="67"/>
      <c r="U424" s="67"/>
      <c r="V424" s="67"/>
      <c r="W424" s="67"/>
      <c r="X424" s="67"/>
      <c r="Y424" s="67"/>
      <c r="Z424" s="67"/>
      <c r="AA424" s="4"/>
      <c r="AB424" s="4"/>
      <c r="AC424" s="4"/>
      <c r="AD424" s="4"/>
    </row>
    <row r="425" spans="1:30" ht="14.25" customHeight="1">
      <c r="A425" s="768"/>
      <c r="B425" s="4"/>
      <c r="C425" s="768" t="s">
        <v>1885</v>
      </c>
      <c r="D425" s="508" t="s">
        <v>1862</v>
      </c>
      <c r="E425" s="508" t="s">
        <v>2205</v>
      </c>
      <c r="F425" s="577" t="s">
        <v>2194</v>
      </c>
      <c r="G425" s="508">
        <v>2000</v>
      </c>
      <c r="H425" s="508">
        <v>4</v>
      </c>
      <c r="I425" s="579">
        <v>8000</v>
      </c>
      <c r="J425" s="579">
        <v>313.30191828890156</v>
      </c>
      <c r="K425" s="500"/>
      <c r="L425" s="560"/>
      <c r="M425" s="572"/>
      <c r="N425" s="67"/>
      <c r="O425" s="67"/>
      <c r="P425" s="67"/>
      <c r="Q425" s="67"/>
      <c r="R425" s="67"/>
      <c r="S425" s="67"/>
      <c r="T425" s="67"/>
      <c r="U425" s="67"/>
      <c r="V425" s="67"/>
      <c r="W425" s="67"/>
      <c r="X425" s="67"/>
      <c r="Y425" s="67"/>
      <c r="Z425" s="67"/>
      <c r="AA425" s="4"/>
      <c r="AB425" s="4"/>
      <c r="AC425" s="4"/>
      <c r="AD425" s="4"/>
    </row>
    <row r="426" spans="1:30" ht="14.25" customHeight="1">
      <c r="A426" s="768"/>
      <c r="B426" s="4"/>
      <c r="C426" s="768" t="s">
        <v>1885</v>
      </c>
      <c r="D426" s="508" t="s">
        <v>1862</v>
      </c>
      <c r="E426" s="508" t="s">
        <v>2268</v>
      </c>
      <c r="F426" s="577" t="s">
        <v>2194</v>
      </c>
      <c r="G426" s="508">
        <v>1500</v>
      </c>
      <c r="H426" s="508">
        <v>1</v>
      </c>
      <c r="I426" s="579">
        <v>1500</v>
      </c>
      <c r="J426" s="579">
        <v>58.744109679169043</v>
      </c>
      <c r="K426" s="500"/>
      <c r="L426" s="560"/>
      <c r="M426" s="572"/>
      <c r="N426" s="67"/>
      <c r="O426" s="67"/>
      <c r="P426" s="67"/>
      <c r="Q426" s="67"/>
      <c r="R426" s="67"/>
      <c r="S426" s="67"/>
      <c r="T426" s="67"/>
      <c r="U426" s="67"/>
      <c r="V426" s="67"/>
      <c r="W426" s="67"/>
      <c r="X426" s="67"/>
      <c r="Y426" s="67"/>
      <c r="Z426" s="67"/>
      <c r="AA426" s="4"/>
      <c r="AB426" s="4"/>
      <c r="AC426" s="4"/>
      <c r="AD426" s="4"/>
    </row>
    <row r="427" spans="1:30" ht="14.25" customHeight="1">
      <c r="A427" s="768"/>
      <c r="B427" s="4"/>
      <c r="C427" s="768" t="s">
        <v>1885</v>
      </c>
      <c r="D427" s="508" t="s">
        <v>1862</v>
      </c>
      <c r="E427" s="508" t="s">
        <v>2269</v>
      </c>
      <c r="F427" s="577" t="s">
        <v>2194</v>
      </c>
      <c r="G427" s="508">
        <v>4500</v>
      </c>
      <c r="H427" s="508">
        <v>1</v>
      </c>
      <c r="I427" s="579">
        <v>4500</v>
      </c>
      <c r="J427" s="579">
        <v>176.23232903750713</v>
      </c>
      <c r="K427" s="500"/>
      <c r="L427" s="560"/>
      <c r="M427" s="572"/>
      <c r="N427" s="67"/>
      <c r="O427" s="67"/>
      <c r="P427" s="67"/>
      <c r="Q427" s="67"/>
      <c r="R427" s="67"/>
      <c r="S427" s="67"/>
      <c r="T427" s="67"/>
      <c r="U427" s="67"/>
      <c r="V427" s="67"/>
      <c r="W427" s="67"/>
      <c r="X427" s="67"/>
      <c r="Y427" s="67"/>
      <c r="Z427" s="67"/>
      <c r="AA427" s="4"/>
      <c r="AB427" s="4"/>
      <c r="AC427" s="4"/>
      <c r="AD427" s="4"/>
    </row>
    <row r="428" spans="1:30" ht="14.25" customHeight="1">
      <c r="A428" s="768"/>
      <c r="B428" s="4"/>
      <c r="C428" s="768" t="s">
        <v>1885</v>
      </c>
      <c r="D428" s="508" t="s">
        <v>1862</v>
      </c>
      <c r="E428" s="508" t="s">
        <v>2270</v>
      </c>
      <c r="F428" s="577" t="s">
        <v>2194</v>
      </c>
      <c r="G428" s="508">
        <v>3000</v>
      </c>
      <c r="H428" s="508">
        <v>1</v>
      </c>
      <c r="I428" s="579">
        <v>3000</v>
      </c>
      <c r="J428" s="579">
        <v>117.48821935833809</v>
      </c>
      <c r="K428" s="500"/>
      <c r="L428" s="560"/>
      <c r="M428" s="572"/>
      <c r="N428" s="67"/>
      <c r="O428" s="67"/>
      <c r="P428" s="67"/>
      <c r="Q428" s="67"/>
      <c r="R428" s="67"/>
      <c r="S428" s="67"/>
      <c r="T428" s="67"/>
      <c r="U428" s="67"/>
      <c r="V428" s="67"/>
      <c r="W428" s="67"/>
      <c r="X428" s="67"/>
      <c r="Y428" s="67"/>
      <c r="Z428" s="67"/>
      <c r="AA428" s="4"/>
      <c r="AB428" s="4"/>
      <c r="AC428" s="4"/>
      <c r="AD428" s="4"/>
    </row>
    <row r="429" spans="1:30" ht="14.25" customHeight="1">
      <c r="A429" s="768"/>
      <c r="B429" s="4"/>
      <c r="C429" s="768" t="s">
        <v>1885</v>
      </c>
      <c r="D429" s="508" t="s">
        <v>1392</v>
      </c>
      <c r="E429" s="582" t="s">
        <v>2263</v>
      </c>
      <c r="F429" s="577" t="s">
        <v>2194</v>
      </c>
      <c r="G429" s="508">
        <v>6000</v>
      </c>
      <c r="H429" s="508">
        <v>1</v>
      </c>
      <c r="I429" s="579">
        <v>6000</v>
      </c>
      <c r="J429" s="579">
        <v>234.97643871667617</v>
      </c>
      <c r="K429" s="500"/>
      <c r="L429" s="560"/>
      <c r="M429" s="572"/>
      <c r="N429" s="67"/>
      <c r="O429" s="67"/>
      <c r="P429" s="67"/>
      <c r="Q429" s="67"/>
      <c r="R429" s="67"/>
      <c r="S429" s="67"/>
      <c r="T429" s="67"/>
      <c r="U429" s="67"/>
      <c r="V429" s="67"/>
      <c r="W429" s="67"/>
      <c r="X429" s="67"/>
      <c r="Y429" s="67"/>
      <c r="Z429" s="67"/>
      <c r="AA429" s="4"/>
      <c r="AB429" s="4"/>
      <c r="AC429" s="4"/>
      <c r="AD429" s="4"/>
    </row>
    <row r="430" spans="1:30" ht="14.25" customHeight="1">
      <c r="A430" s="768"/>
      <c r="B430" s="4"/>
      <c r="C430" s="768" t="s">
        <v>1885</v>
      </c>
      <c r="D430" s="508" t="s">
        <v>1392</v>
      </c>
      <c r="E430" s="508" t="s">
        <v>2271</v>
      </c>
      <c r="F430" s="577" t="s">
        <v>2194</v>
      </c>
      <c r="G430" s="508">
        <v>15000</v>
      </c>
      <c r="H430" s="508">
        <v>2</v>
      </c>
      <c r="I430" s="579">
        <v>30000</v>
      </c>
      <c r="J430" s="579">
        <v>1174.882193583381</v>
      </c>
      <c r="K430" s="500"/>
      <c r="L430" s="560"/>
      <c r="M430" s="572"/>
      <c r="N430" s="67"/>
      <c r="O430" s="67"/>
      <c r="P430" s="67"/>
      <c r="Q430" s="67"/>
      <c r="R430" s="67"/>
      <c r="S430" s="67"/>
      <c r="T430" s="67"/>
      <c r="U430" s="67"/>
      <c r="V430" s="67"/>
      <c r="W430" s="67"/>
      <c r="X430" s="67"/>
      <c r="Y430" s="67"/>
      <c r="Z430" s="67"/>
      <c r="AA430" s="4"/>
      <c r="AB430" s="4"/>
      <c r="AC430" s="4"/>
      <c r="AD430" s="4"/>
    </row>
    <row r="431" spans="1:30" ht="14.25" customHeight="1">
      <c r="A431" s="768"/>
      <c r="B431" s="4"/>
      <c r="C431" s="768" t="s">
        <v>1885</v>
      </c>
      <c r="D431" s="508" t="s">
        <v>1862</v>
      </c>
      <c r="E431" s="508" t="s">
        <v>2272</v>
      </c>
      <c r="F431" s="577" t="s">
        <v>2194</v>
      </c>
      <c r="G431" s="508">
        <v>1000</v>
      </c>
      <c r="H431" s="508">
        <v>1</v>
      </c>
      <c r="I431" s="579">
        <v>1000</v>
      </c>
      <c r="J431" s="579">
        <v>39.162739786112695</v>
      </c>
      <c r="K431" s="500"/>
      <c r="L431" s="560"/>
      <c r="M431" s="572"/>
      <c r="N431" s="67"/>
      <c r="O431" s="67"/>
      <c r="P431" s="67"/>
      <c r="Q431" s="67"/>
      <c r="R431" s="67"/>
      <c r="S431" s="67"/>
      <c r="T431" s="67"/>
      <c r="U431" s="67"/>
      <c r="V431" s="67"/>
      <c r="W431" s="67"/>
      <c r="X431" s="67"/>
      <c r="Y431" s="67"/>
      <c r="Z431" s="67"/>
      <c r="AA431" s="4"/>
      <c r="AB431" s="4"/>
      <c r="AC431" s="4"/>
      <c r="AD431" s="4"/>
    </row>
    <row r="432" spans="1:30" ht="14.25" customHeight="1">
      <c r="A432" s="768"/>
      <c r="B432" s="4"/>
      <c r="C432" s="768"/>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4.25" customHeight="1">
      <c r="A433" s="768"/>
      <c r="B433" s="4"/>
      <c r="C433" s="768"/>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4.25" customHeight="1">
      <c r="A434" s="768" t="str">
        <f>Напрями!$A$67</f>
        <v>209M</v>
      </c>
      <c r="B434" s="4"/>
      <c r="C434" s="768" t="s">
        <v>1914</v>
      </c>
      <c r="D434" s="810" t="s">
        <v>2289</v>
      </c>
      <c r="E434" s="792"/>
      <c r="F434" s="792"/>
      <c r="G434" s="792"/>
      <c r="H434" s="792"/>
      <c r="I434" s="792"/>
      <c r="J434" s="792"/>
      <c r="K434" s="96"/>
      <c r="L434" s="792"/>
      <c r="M434" s="792"/>
      <c r="N434" s="96"/>
      <c r="O434" s="96"/>
      <c r="P434" s="96"/>
      <c r="Q434" s="96"/>
      <c r="R434" s="96"/>
      <c r="S434" s="96"/>
      <c r="T434" s="96"/>
      <c r="U434" s="96"/>
      <c r="V434" s="96"/>
      <c r="W434" s="481"/>
      <c r="X434" s="772"/>
      <c r="Y434" s="96"/>
      <c r="Z434" s="4"/>
      <c r="AA434" s="4"/>
      <c r="AB434" s="4"/>
      <c r="AC434" s="4"/>
      <c r="AD434" s="4"/>
    </row>
    <row r="435" spans="1:30" ht="14.25" customHeight="1">
      <c r="A435" s="768" t="str">
        <f>Напрями!$A$67</f>
        <v>209M</v>
      </c>
      <c r="B435" s="4"/>
      <c r="C435" s="768" t="s">
        <v>1914</v>
      </c>
      <c r="D435" s="524" t="s">
        <v>2075</v>
      </c>
      <c r="E435" s="525" t="s">
        <v>394</v>
      </c>
      <c r="F435" s="525" t="s">
        <v>2076</v>
      </c>
      <c r="G435" s="525" t="s">
        <v>2077</v>
      </c>
      <c r="H435" s="478" t="s">
        <v>2078</v>
      </c>
      <c r="I435" s="478" t="s">
        <v>2136</v>
      </c>
      <c r="J435" s="479" t="s">
        <v>2137</v>
      </c>
      <c r="K435" s="96"/>
      <c r="L435" s="480"/>
      <c r="M435" s="480"/>
      <c r="N435" s="96"/>
      <c r="O435" s="96"/>
      <c r="P435" s="96"/>
      <c r="Q435" s="96"/>
      <c r="R435" s="96"/>
      <c r="S435" s="96"/>
      <c r="T435" s="96"/>
      <c r="U435" s="96"/>
      <c r="V435" s="96"/>
      <c r="W435" s="481"/>
      <c r="X435" s="772"/>
      <c r="Y435" s="96"/>
      <c r="Z435" s="4"/>
      <c r="AA435" s="4"/>
      <c r="AB435" s="4"/>
      <c r="AC435" s="4"/>
      <c r="AD435" s="4"/>
    </row>
    <row r="436" spans="1:30" ht="14.25" customHeight="1">
      <c r="A436" s="768" t="str">
        <f>Напрями!$A$67</f>
        <v>209M</v>
      </c>
      <c r="B436" s="4"/>
      <c r="C436" s="768" t="s">
        <v>1914</v>
      </c>
      <c r="D436" s="585" t="s">
        <v>2290</v>
      </c>
      <c r="E436" s="586" t="s">
        <v>2291</v>
      </c>
      <c r="F436" s="587">
        <v>12650</v>
      </c>
      <c r="G436" s="527">
        <v>1</v>
      </c>
      <c r="H436" s="527">
        <v>120</v>
      </c>
      <c r="I436" s="483">
        <v>1518000</v>
      </c>
      <c r="J436" s="483">
        <v>59449.038995319075</v>
      </c>
      <c r="K436" s="96"/>
      <c r="L436" s="484"/>
      <c r="M436" s="485">
        <v>0</v>
      </c>
      <c r="N436" s="485">
        <v>1</v>
      </c>
      <c r="O436" s="485">
        <v>1</v>
      </c>
      <c r="P436" s="486">
        <v>0</v>
      </c>
      <c r="Q436" s="486">
        <v>2277000</v>
      </c>
      <c r="R436" s="486">
        <v>2277000</v>
      </c>
      <c r="S436" s="487">
        <v>4554000</v>
      </c>
      <c r="T436" s="487">
        <v>0</v>
      </c>
      <c r="U436" s="811">
        <v>89173.558492978613</v>
      </c>
      <c r="V436" s="487">
        <v>89173.558492978613</v>
      </c>
      <c r="W436" s="481">
        <v>178347.11698595723</v>
      </c>
      <c r="X436" s="772" t="s">
        <v>950</v>
      </c>
      <c r="Y436" s="96" t="s">
        <v>1914</v>
      </c>
      <c r="Z436" s="4"/>
      <c r="AA436" s="4"/>
      <c r="AB436" s="4"/>
      <c r="AC436" s="4"/>
      <c r="AD436" s="4"/>
    </row>
    <row r="437" spans="1:30" ht="14.25" customHeight="1">
      <c r="A437" s="768" t="str">
        <f>Напрями!$A$67</f>
        <v>209M</v>
      </c>
      <c r="B437" s="4"/>
      <c r="C437" s="768" t="s">
        <v>1914</v>
      </c>
      <c r="D437" s="530" t="s">
        <v>2292</v>
      </c>
      <c r="E437" s="527" t="s">
        <v>2293</v>
      </c>
      <c r="F437" s="544">
        <v>383.01712500000002</v>
      </c>
      <c r="G437" s="527">
        <v>1</v>
      </c>
      <c r="H437" s="527">
        <v>100</v>
      </c>
      <c r="I437" s="483">
        <v>38301.712500000001</v>
      </c>
      <c r="J437" s="483">
        <v>1500</v>
      </c>
      <c r="K437" s="96"/>
      <c r="L437" s="484"/>
      <c r="M437" s="485">
        <v>0</v>
      </c>
      <c r="N437" s="485">
        <v>1</v>
      </c>
      <c r="O437" s="485">
        <v>1</v>
      </c>
      <c r="P437" s="486">
        <v>0</v>
      </c>
      <c r="Q437" s="486">
        <v>57452.712500000001</v>
      </c>
      <c r="R437" s="486">
        <v>57452.712500000001</v>
      </c>
      <c r="S437" s="487">
        <v>114905.425</v>
      </c>
      <c r="T437" s="487">
        <v>0</v>
      </c>
      <c r="U437" s="811">
        <v>2250.0056296438443</v>
      </c>
      <c r="V437" s="487">
        <v>2250.0056296438443</v>
      </c>
      <c r="W437" s="481">
        <v>4500.0112592876885</v>
      </c>
      <c r="X437" s="349" t="s">
        <v>877</v>
      </c>
      <c r="Y437" s="96" t="s">
        <v>1914</v>
      </c>
      <c r="Z437" s="4"/>
      <c r="AA437" s="4"/>
      <c r="AB437" s="4"/>
      <c r="AC437" s="4"/>
      <c r="AD437" s="4"/>
    </row>
    <row r="438" spans="1:30" ht="14.25" customHeight="1">
      <c r="A438" s="768" t="str">
        <f>Напрями!$A$67</f>
        <v>209M</v>
      </c>
      <c r="B438" s="4"/>
      <c r="C438" s="768" t="s">
        <v>1914</v>
      </c>
      <c r="D438" s="530" t="s">
        <v>2294</v>
      </c>
      <c r="E438" s="527" t="s">
        <v>2295</v>
      </c>
      <c r="F438" s="544">
        <v>485.15502500000002</v>
      </c>
      <c r="G438" s="527">
        <v>1</v>
      </c>
      <c r="H438" s="527">
        <v>300</v>
      </c>
      <c r="I438" s="483">
        <v>145546.50750000001</v>
      </c>
      <c r="J438" s="483">
        <v>5700</v>
      </c>
      <c r="K438" s="96"/>
      <c r="L438" s="484"/>
      <c r="M438" s="485">
        <v>0</v>
      </c>
      <c r="N438" s="485">
        <v>1</v>
      </c>
      <c r="O438" s="485">
        <v>1</v>
      </c>
      <c r="P438" s="486">
        <v>0</v>
      </c>
      <c r="Q438" s="486">
        <v>218320.00750000001</v>
      </c>
      <c r="R438" s="486">
        <v>218320.00750000001</v>
      </c>
      <c r="S438" s="487">
        <v>436640.01500000001</v>
      </c>
      <c r="T438" s="487">
        <v>0</v>
      </c>
      <c r="U438" s="811">
        <v>8550.0096438246728</v>
      </c>
      <c r="V438" s="487">
        <v>8550.0096438246728</v>
      </c>
      <c r="W438" s="481">
        <v>17100.019287649346</v>
      </c>
      <c r="X438" s="772" t="s">
        <v>994</v>
      </c>
      <c r="Y438" s="96" t="s">
        <v>1914</v>
      </c>
      <c r="Z438" s="4"/>
      <c r="AA438" s="4"/>
      <c r="AB438" s="4"/>
      <c r="AC438" s="4"/>
      <c r="AD438" s="4"/>
    </row>
    <row r="439" spans="1:30" ht="14.25" customHeight="1">
      <c r="A439" s="768" t="str">
        <f>Напрями!$A$67</f>
        <v>209M</v>
      </c>
      <c r="B439" s="4"/>
      <c r="C439" s="768" t="s">
        <v>1914</v>
      </c>
      <c r="D439" s="530" t="s">
        <v>2141</v>
      </c>
      <c r="E439" s="527"/>
      <c r="F439" s="544"/>
      <c r="G439" s="527"/>
      <c r="H439" s="527"/>
      <c r="I439" s="483">
        <v>170184.82200000001</v>
      </c>
      <c r="J439" s="483">
        <v>6664.9038995319079</v>
      </c>
      <c r="K439" s="96"/>
      <c r="L439" s="484"/>
      <c r="M439" s="485">
        <v>0</v>
      </c>
      <c r="N439" s="485">
        <v>1</v>
      </c>
      <c r="O439" s="485">
        <v>1</v>
      </c>
      <c r="P439" s="486">
        <v>0</v>
      </c>
      <c r="Q439" s="486">
        <v>255277.32200000001</v>
      </c>
      <c r="R439" s="486">
        <v>255277.32200000001</v>
      </c>
      <c r="S439" s="487">
        <v>510554.64400000003</v>
      </c>
      <c r="T439" s="487">
        <v>0</v>
      </c>
      <c r="U439" s="811">
        <v>9997.3593347817023</v>
      </c>
      <c r="V439" s="487">
        <v>9997.3593347817023</v>
      </c>
      <c r="W439" s="481">
        <v>19994.718669563405</v>
      </c>
      <c r="X439" s="772" t="s">
        <v>875</v>
      </c>
      <c r="Y439" s="96" t="s">
        <v>1914</v>
      </c>
      <c r="Z439" s="4"/>
      <c r="AA439" s="4"/>
      <c r="AB439" s="4"/>
      <c r="AC439" s="4"/>
      <c r="AD439" s="4"/>
    </row>
    <row r="440" spans="1:30" ht="14.25" customHeight="1">
      <c r="A440" s="768" t="str">
        <f>Напрями!$A$67</f>
        <v>209M</v>
      </c>
      <c r="B440" s="4"/>
      <c r="C440" s="768" t="s">
        <v>1914</v>
      </c>
      <c r="D440" s="530" t="s">
        <v>2142</v>
      </c>
      <c r="E440" s="527"/>
      <c r="F440" s="544"/>
      <c r="G440" s="527"/>
      <c r="H440" s="527"/>
      <c r="I440" s="483">
        <v>255277.23299999998</v>
      </c>
      <c r="J440" s="483">
        <v>9997.3558492978591</v>
      </c>
      <c r="K440" s="96"/>
      <c r="L440" s="484"/>
      <c r="M440" s="485">
        <v>0</v>
      </c>
      <c r="N440" s="485">
        <v>1</v>
      </c>
      <c r="O440" s="485">
        <v>1</v>
      </c>
      <c r="P440" s="486">
        <v>0</v>
      </c>
      <c r="Q440" s="486">
        <v>382915.73300000001</v>
      </c>
      <c r="R440" s="486">
        <v>382915.73300000001</v>
      </c>
      <c r="S440" s="487">
        <v>765831.46600000001</v>
      </c>
      <c r="T440" s="487">
        <v>0</v>
      </c>
      <c r="U440" s="811">
        <v>14996.029211487607</v>
      </c>
      <c r="V440" s="487">
        <v>14996.029211487607</v>
      </c>
      <c r="W440" s="481">
        <v>29992.058422975213</v>
      </c>
      <c r="X440" s="772" t="s">
        <v>881</v>
      </c>
      <c r="Y440" s="96" t="s">
        <v>1914</v>
      </c>
      <c r="Z440" s="4"/>
      <c r="AA440" s="4"/>
      <c r="AB440" s="4"/>
      <c r="AC440" s="4"/>
      <c r="AD440" s="4"/>
    </row>
    <row r="441" spans="1:30" ht="14.25" customHeight="1">
      <c r="A441" s="768" t="str">
        <f>Напрями!$A$67</f>
        <v>209M</v>
      </c>
      <c r="B441" s="4"/>
      <c r="C441" s="768" t="s">
        <v>1914</v>
      </c>
      <c r="D441" s="546" t="s">
        <v>1047</v>
      </c>
      <c r="E441" s="547"/>
      <c r="F441" s="547"/>
      <c r="G441" s="547"/>
      <c r="H441" s="547"/>
      <c r="I441" s="488">
        <v>2127310.2749999999</v>
      </c>
      <c r="J441" s="488">
        <v>83311.298744148851</v>
      </c>
      <c r="K441" s="96"/>
      <c r="L441" s="485"/>
      <c r="M441" s="485"/>
      <c r="N441" s="485"/>
      <c r="O441" s="485"/>
      <c r="P441" s="486"/>
      <c r="Q441" s="486"/>
      <c r="R441" s="486"/>
      <c r="S441" s="487"/>
      <c r="T441" s="487"/>
      <c r="U441" s="487"/>
      <c r="V441" s="487"/>
      <c r="W441" s="491"/>
      <c r="X441" s="772"/>
      <c r="Y441" s="96"/>
      <c r="Z441" s="4"/>
      <c r="AA441" s="4"/>
      <c r="AB441" s="4"/>
      <c r="AC441" s="4"/>
      <c r="AD441" s="4"/>
    </row>
    <row r="442" spans="1:30" ht="14.25" customHeight="1">
      <c r="A442" s="768" t="str">
        <f>Напрями!$A$67</f>
        <v>209M</v>
      </c>
      <c r="B442" s="4"/>
      <c r="C442" s="768" t="s">
        <v>1914</v>
      </c>
      <c r="D442" s="96"/>
      <c r="E442" s="96"/>
      <c r="F442" s="96"/>
      <c r="G442" s="96"/>
      <c r="H442" s="96"/>
      <c r="I442" s="96"/>
      <c r="J442" s="492"/>
      <c r="K442" s="96"/>
      <c r="L442" s="492"/>
      <c r="M442" s="492"/>
      <c r="N442" s="96"/>
      <c r="O442" s="96"/>
      <c r="P442" s="96"/>
      <c r="Q442" s="96"/>
      <c r="R442" s="96"/>
      <c r="S442" s="96"/>
      <c r="T442" s="96"/>
      <c r="U442" s="96"/>
      <c r="V442" s="96"/>
      <c r="W442" s="481"/>
      <c r="X442" s="772"/>
      <c r="Y442" s="96"/>
      <c r="Z442" s="4"/>
      <c r="AA442" s="4"/>
      <c r="AB442" s="4"/>
      <c r="AC442" s="4"/>
      <c r="AD442" s="4"/>
    </row>
    <row r="443" spans="1:30" ht="14.25" customHeight="1">
      <c r="A443" s="768" t="str">
        <f>Напрями!$A$67</f>
        <v>209M</v>
      </c>
      <c r="B443" s="4"/>
      <c r="C443" s="768" t="s">
        <v>1914</v>
      </c>
      <c r="D443" s="96"/>
      <c r="E443" s="96"/>
      <c r="F443" s="96"/>
      <c r="G443" s="96"/>
      <c r="H443" s="96"/>
      <c r="I443" s="96"/>
      <c r="J443" s="492"/>
      <c r="K443" s="492"/>
      <c r="L443" s="492"/>
      <c r="M443" s="492"/>
      <c r="N443" s="96"/>
      <c r="O443" s="96"/>
      <c r="P443" s="96"/>
      <c r="Q443" s="96"/>
      <c r="R443" s="96"/>
      <c r="S443" s="96"/>
      <c r="T443" s="96"/>
      <c r="U443" s="96"/>
      <c r="V443" s="96"/>
      <c r="W443" s="481"/>
      <c r="X443" s="772"/>
      <c r="Y443" s="96"/>
      <c r="Z443" s="4"/>
      <c r="AA443" s="4"/>
      <c r="AB443" s="4"/>
      <c r="AC443" s="4"/>
      <c r="AD443" s="4"/>
    </row>
    <row r="444" spans="1:30" ht="14.25" customHeight="1">
      <c r="A444" s="768" t="str">
        <f>Напрями!$A$67</f>
        <v>209M</v>
      </c>
      <c r="B444" s="4"/>
      <c r="C444" s="768" t="s">
        <v>1914</v>
      </c>
      <c r="D444" s="810" t="s">
        <v>2296</v>
      </c>
      <c r="E444" s="792"/>
      <c r="F444" s="792"/>
      <c r="G444" s="792"/>
      <c r="H444" s="792"/>
      <c r="I444" s="792"/>
      <c r="J444" s="792"/>
      <c r="K444" s="492"/>
      <c r="L444" s="792"/>
      <c r="M444" s="492"/>
      <c r="N444" s="96"/>
      <c r="O444" s="96"/>
      <c r="P444" s="96"/>
      <c r="Q444" s="96"/>
      <c r="R444" s="96"/>
      <c r="S444" s="96"/>
      <c r="T444" s="96"/>
      <c r="U444" s="96"/>
      <c r="V444" s="96"/>
      <c r="W444" s="481"/>
      <c r="X444" s="772"/>
      <c r="Y444" s="96"/>
      <c r="Z444" s="4"/>
      <c r="AA444" s="4"/>
      <c r="AB444" s="4"/>
      <c r="AC444" s="4"/>
      <c r="AD444" s="4"/>
    </row>
    <row r="445" spans="1:30" ht="14.25" customHeight="1">
      <c r="A445" s="768" t="str">
        <f>Напрями!$A$67</f>
        <v>209M</v>
      </c>
      <c r="B445" s="4"/>
      <c r="C445" s="768" t="s">
        <v>1914</v>
      </c>
      <c r="D445" s="143" t="s">
        <v>1304</v>
      </c>
      <c r="E445" s="113" t="s">
        <v>1388</v>
      </c>
      <c r="F445" s="113" t="s">
        <v>1307</v>
      </c>
      <c r="G445" s="113" t="s">
        <v>1308</v>
      </c>
      <c r="H445" s="113" t="s">
        <v>1309</v>
      </c>
      <c r="I445" s="113" t="s">
        <v>972</v>
      </c>
      <c r="J445" s="113" t="s">
        <v>973</v>
      </c>
      <c r="K445" s="143" t="s">
        <v>974</v>
      </c>
      <c r="L445" s="113"/>
      <c r="M445" s="492"/>
      <c r="N445" s="96"/>
      <c r="O445" s="96"/>
      <c r="P445" s="96"/>
      <c r="Q445" s="96"/>
      <c r="R445" s="96"/>
      <c r="S445" s="96"/>
      <c r="T445" s="96"/>
      <c r="U445" s="96"/>
      <c r="V445" s="96"/>
      <c r="W445" s="481"/>
      <c r="X445" s="772"/>
      <c r="Y445" s="96"/>
      <c r="Z445" s="4"/>
      <c r="AA445" s="4"/>
      <c r="AB445" s="4"/>
      <c r="AC445" s="4"/>
      <c r="AD445" s="4"/>
    </row>
    <row r="446" spans="1:30" ht="14.25" customHeight="1">
      <c r="A446" s="768" t="str">
        <f>Напрями!$A$67</f>
        <v>209M</v>
      </c>
      <c r="B446" s="4"/>
      <c r="C446" s="768" t="s">
        <v>1914</v>
      </c>
      <c r="D446" s="530" t="s">
        <v>2297</v>
      </c>
      <c r="E446" s="164">
        <v>105874.45</v>
      </c>
      <c r="F446" s="164">
        <v>2</v>
      </c>
      <c r="G446" s="164">
        <v>2</v>
      </c>
      <c r="H446" s="164">
        <v>2</v>
      </c>
      <c r="I446" s="164">
        <v>211748.9</v>
      </c>
      <c r="J446" s="164">
        <v>211748.9</v>
      </c>
      <c r="K446" s="164">
        <v>211748.9</v>
      </c>
      <c r="L446" s="164"/>
      <c r="M446" s="485">
        <v>0</v>
      </c>
      <c r="N446" s="485">
        <v>1</v>
      </c>
      <c r="O446" s="485">
        <v>1</v>
      </c>
      <c r="P446" s="588">
        <v>0</v>
      </c>
      <c r="Q446" s="588">
        <v>317623.40000000002</v>
      </c>
      <c r="R446" s="588">
        <v>317623.40000000002</v>
      </c>
      <c r="S446" s="487">
        <v>635246.80000000005</v>
      </c>
      <c r="T446" s="487">
        <v>0</v>
      </c>
      <c r="U446" s="811">
        <v>12439.002564180388</v>
      </c>
      <c r="V446" s="487">
        <v>12439.002564180388</v>
      </c>
      <c r="W446" s="481">
        <v>24878.005128360775</v>
      </c>
      <c r="X446" s="772" t="s">
        <v>950</v>
      </c>
      <c r="Y446" s="96" t="s">
        <v>1914</v>
      </c>
      <c r="Z446" s="4"/>
      <c r="AA446" s="4"/>
      <c r="AB446" s="4"/>
      <c r="AC446" s="4"/>
      <c r="AD446" s="4"/>
    </row>
    <row r="447" spans="1:30" ht="14.25" customHeight="1">
      <c r="A447" s="768" t="str">
        <f>Напрями!$A$67</f>
        <v>209M</v>
      </c>
      <c r="B447" s="4"/>
      <c r="C447" s="768" t="s">
        <v>1914</v>
      </c>
      <c r="D447" s="530" t="s">
        <v>2298</v>
      </c>
      <c r="E447" s="164">
        <v>105874.45</v>
      </c>
      <c r="F447" s="164">
        <v>2</v>
      </c>
      <c r="G447" s="164">
        <v>2</v>
      </c>
      <c r="H447" s="164">
        <v>2</v>
      </c>
      <c r="I447" s="164">
        <v>211748.9</v>
      </c>
      <c r="J447" s="164">
        <v>211748.9</v>
      </c>
      <c r="K447" s="164">
        <v>211748.9</v>
      </c>
      <c r="L447" s="164"/>
      <c r="M447" s="485">
        <v>0</v>
      </c>
      <c r="N447" s="485">
        <v>1</v>
      </c>
      <c r="O447" s="485">
        <v>1</v>
      </c>
      <c r="P447" s="588">
        <v>0</v>
      </c>
      <c r="Q447" s="588">
        <v>317623.40000000002</v>
      </c>
      <c r="R447" s="588">
        <v>317623.40000000002</v>
      </c>
      <c r="S447" s="487">
        <v>635246.80000000005</v>
      </c>
      <c r="T447" s="487">
        <v>0</v>
      </c>
      <c r="U447" s="811">
        <v>12439.002564180388</v>
      </c>
      <c r="V447" s="487">
        <v>12439.002564180388</v>
      </c>
      <c r="W447" s="481">
        <v>24878.005128360775</v>
      </c>
      <c r="X447" s="772" t="s">
        <v>950</v>
      </c>
      <c r="Y447" s="96" t="s">
        <v>1914</v>
      </c>
      <c r="Z447" s="4"/>
      <c r="AA447" s="4"/>
      <c r="AB447" s="4"/>
      <c r="AC447" s="4"/>
      <c r="AD447" s="4"/>
    </row>
    <row r="448" spans="1:30" ht="14.25" customHeight="1">
      <c r="A448" s="768" t="str">
        <f>Напрями!$A$67</f>
        <v>209M</v>
      </c>
      <c r="B448" s="4"/>
      <c r="C448" s="768" t="s">
        <v>1914</v>
      </c>
      <c r="D448" s="530" t="s">
        <v>2299</v>
      </c>
      <c r="E448" s="164">
        <v>10213.790000000001</v>
      </c>
      <c r="F448" s="164">
        <v>150</v>
      </c>
      <c r="G448" s="164">
        <v>600</v>
      </c>
      <c r="H448" s="164">
        <v>600</v>
      </c>
      <c r="I448" s="164">
        <v>1532068.5000000002</v>
      </c>
      <c r="J448" s="164">
        <v>6128274.0000000009</v>
      </c>
      <c r="K448" s="164">
        <v>6128274.0000000009</v>
      </c>
      <c r="L448" s="164"/>
      <c r="M448" s="485">
        <v>0</v>
      </c>
      <c r="N448" s="485">
        <v>1</v>
      </c>
      <c r="O448" s="485">
        <v>1</v>
      </c>
      <c r="P448" s="588">
        <v>0</v>
      </c>
      <c r="Q448" s="588">
        <v>6894308.5000000009</v>
      </c>
      <c r="R448" s="588">
        <v>6894308.5000000009</v>
      </c>
      <c r="S448" s="487">
        <v>13788617.000000002</v>
      </c>
      <c r="T448" s="487">
        <v>0</v>
      </c>
      <c r="U448" s="811">
        <v>270000.00979068497</v>
      </c>
      <c r="V448" s="487">
        <v>270000.00979068497</v>
      </c>
      <c r="W448" s="481">
        <v>540000.01958136994</v>
      </c>
      <c r="X448" s="772" t="s">
        <v>977</v>
      </c>
      <c r="Y448" s="96" t="s">
        <v>1914</v>
      </c>
      <c r="Z448" s="4"/>
      <c r="AA448" s="4"/>
      <c r="AB448" s="4"/>
      <c r="AC448" s="4"/>
      <c r="AD448" s="4"/>
    </row>
    <row r="449" spans="1:30" ht="14.25" customHeight="1">
      <c r="A449" s="768" t="s">
        <v>2300</v>
      </c>
      <c r="B449" s="4"/>
      <c r="C449" s="812" t="s">
        <v>1914</v>
      </c>
      <c r="D449" s="227" t="s">
        <v>2301</v>
      </c>
      <c r="E449" s="231">
        <v>210.93</v>
      </c>
      <c r="F449" s="164"/>
      <c r="G449" s="164"/>
      <c r="H449" s="164"/>
      <c r="I449" s="164"/>
      <c r="J449" s="164"/>
      <c r="K449" s="231" t="s">
        <v>2302</v>
      </c>
      <c r="L449" s="164"/>
      <c r="M449" s="485"/>
      <c r="N449" s="485"/>
      <c r="O449" s="485"/>
      <c r="P449" s="588"/>
      <c r="Q449" s="588"/>
      <c r="R449" s="588"/>
      <c r="S449" s="487"/>
      <c r="T449" s="487"/>
      <c r="U449" s="811"/>
      <c r="V449" s="487"/>
      <c r="W449" s="481"/>
      <c r="X449" s="772"/>
      <c r="Y449" s="96"/>
      <c r="Z449" s="4"/>
      <c r="AA449" s="4"/>
      <c r="AB449" s="4"/>
      <c r="AC449" s="4"/>
      <c r="AD449" s="4"/>
    </row>
    <row r="450" spans="1:30" ht="14.25" customHeight="1">
      <c r="A450" s="768" t="str">
        <f>Напрями!$A$67</f>
        <v>209M</v>
      </c>
      <c r="B450" s="4"/>
      <c r="C450" s="768" t="s">
        <v>1914</v>
      </c>
      <c r="D450" s="121" t="s">
        <v>1001</v>
      </c>
      <c r="E450" s="164"/>
      <c r="F450" s="164"/>
      <c r="G450" s="164"/>
      <c r="H450" s="164"/>
      <c r="I450" s="164">
        <v>195556.63000000003</v>
      </c>
      <c r="J450" s="164">
        <v>655177.18000000017</v>
      </c>
      <c r="K450" s="164">
        <v>655177.18000000017</v>
      </c>
      <c r="L450" s="164"/>
      <c r="M450" s="485">
        <v>0</v>
      </c>
      <c r="N450" s="485">
        <v>1</v>
      </c>
      <c r="O450" s="485">
        <v>1</v>
      </c>
      <c r="P450" s="588">
        <v>0</v>
      </c>
      <c r="Q450" s="588">
        <v>752955.68000000017</v>
      </c>
      <c r="R450" s="588">
        <v>752955.68000000017</v>
      </c>
      <c r="S450" s="487">
        <v>1505911.3600000003</v>
      </c>
      <c r="T450" s="487">
        <v>0</v>
      </c>
      <c r="U450" s="811">
        <v>29487.807366315545</v>
      </c>
      <c r="V450" s="487">
        <v>29487.807366315545</v>
      </c>
      <c r="W450" s="481">
        <v>58975.614732631089</v>
      </c>
      <c r="X450" s="772" t="s">
        <v>875</v>
      </c>
      <c r="Y450" s="96" t="s">
        <v>1914</v>
      </c>
      <c r="Z450" s="4"/>
      <c r="AA450" s="4"/>
      <c r="AB450" s="4"/>
      <c r="AC450" s="4"/>
      <c r="AD450" s="4"/>
    </row>
    <row r="451" spans="1:30" ht="14.25" customHeight="1">
      <c r="A451" s="768" t="str">
        <f>Напрями!$A$67</f>
        <v>209M</v>
      </c>
      <c r="B451" s="4"/>
      <c r="C451" s="768" t="s">
        <v>1914</v>
      </c>
      <c r="D451" s="121" t="s">
        <v>962</v>
      </c>
      <c r="E451" s="264"/>
      <c r="F451" s="221"/>
      <c r="G451" s="221"/>
      <c r="H451" s="221"/>
      <c r="I451" s="164">
        <v>293334.94500000001</v>
      </c>
      <c r="J451" s="164">
        <v>982765.77</v>
      </c>
      <c r="K451" s="164">
        <v>982765.77</v>
      </c>
      <c r="L451" s="164"/>
      <c r="M451" s="485">
        <v>0</v>
      </c>
      <c r="N451" s="485">
        <v>1</v>
      </c>
      <c r="O451" s="485">
        <v>1</v>
      </c>
      <c r="P451" s="588">
        <v>0</v>
      </c>
      <c r="Q451" s="588">
        <v>1129433.27</v>
      </c>
      <c r="R451" s="588">
        <v>1129433.27</v>
      </c>
      <c r="S451" s="487">
        <v>2258866.54</v>
      </c>
      <c r="T451" s="487">
        <v>0</v>
      </c>
      <c r="U451" s="811">
        <v>44231.701258788366</v>
      </c>
      <c r="V451" s="487">
        <v>44231.701258788366</v>
      </c>
      <c r="W451" s="481">
        <v>88463.402517576731</v>
      </c>
      <c r="X451" s="772" t="s">
        <v>881</v>
      </c>
      <c r="Y451" s="96" t="s">
        <v>1914</v>
      </c>
      <c r="Z451" s="4"/>
      <c r="AA451" s="4"/>
      <c r="AB451" s="4"/>
      <c r="AC451" s="4"/>
      <c r="AD451" s="4"/>
    </row>
    <row r="452" spans="1:30" ht="14.25" customHeight="1">
      <c r="A452" s="768" t="str">
        <f>Напрями!$A$67</f>
        <v>209M</v>
      </c>
      <c r="B452" s="4"/>
      <c r="C452" s="768" t="s">
        <v>1914</v>
      </c>
      <c r="D452" s="546" t="s">
        <v>1047</v>
      </c>
      <c r="E452" s="547"/>
      <c r="F452" s="547"/>
      <c r="G452" s="547"/>
      <c r="H452" s="547"/>
      <c r="I452" s="488">
        <v>2444457.875</v>
      </c>
      <c r="J452" s="488">
        <v>8189714.75</v>
      </c>
      <c r="K452" s="488">
        <v>8189714.75</v>
      </c>
      <c r="L452" s="488"/>
      <c r="M452" s="485">
        <v>1</v>
      </c>
      <c r="N452" s="485">
        <v>1</v>
      </c>
      <c r="O452" s="485">
        <v>1</v>
      </c>
      <c r="P452" s="588"/>
      <c r="Q452" s="588"/>
      <c r="R452" s="588"/>
      <c r="S452" s="487"/>
      <c r="T452" s="487"/>
      <c r="U452" s="487"/>
      <c r="V452" s="487"/>
      <c r="W452" s="491"/>
      <c r="X452" s="772"/>
      <c r="Y452" s="96"/>
      <c r="Z452" s="4"/>
      <c r="AA452" s="4"/>
      <c r="AB452" s="4"/>
      <c r="AC452" s="4"/>
      <c r="AD452" s="4"/>
    </row>
    <row r="453" spans="1:30" ht="14.25" customHeight="1">
      <c r="A453" s="768"/>
      <c r="B453" s="4"/>
      <c r="C453" s="768" t="s">
        <v>1914</v>
      </c>
      <c r="D453" s="96"/>
      <c r="E453" s="96"/>
      <c r="F453" s="96"/>
      <c r="G453" s="96"/>
      <c r="H453" s="96"/>
      <c r="I453" s="563">
        <v>95731.667676739002</v>
      </c>
      <c r="J453" s="563">
        <v>320731.66767673899</v>
      </c>
      <c r="K453" s="563">
        <v>323149.90811442176</v>
      </c>
      <c r="L453" s="563"/>
      <c r="M453" s="492"/>
      <c r="N453" s="96"/>
      <c r="O453" s="96"/>
      <c r="P453" s="96"/>
      <c r="Q453" s="96"/>
      <c r="R453" s="96"/>
      <c r="S453" s="96"/>
      <c r="T453" s="96"/>
      <c r="U453" s="96"/>
      <c r="V453" s="96"/>
      <c r="W453" s="481"/>
      <c r="X453" s="772"/>
      <c r="Y453" s="96"/>
      <c r="Z453" s="4"/>
      <c r="AA453" s="4"/>
      <c r="AB453" s="4"/>
      <c r="AC453" s="4"/>
      <c r="AD453" s="4"/>
    </row>
    <row r="454" spans="1:30" ht="14.25" customHeight="1">
      <c r="A454" s="768"/>
      <c r="B454" s="4"/>
      <c r="C454" s="768" t="s">
        <v>1914</v>
      </c>
      <c r="D454" s="96"/>
      <c r="E454" s="96"/>
      <c r="F454" s="96"/>
      <c r="G454" s="492"/>
      <c r="H454" s="96"/>
      <c r="I454" s="96"/>
      <c r="J454" s="492"/>
      <c r="K454" s="492"/>
      <c r="L454" s="492"/>
      <c r="M454" s="492"/>
      <c r="N454" s="96"/>
      <c r="O454" s="96"/>
      <c r="P454" s="96"/>
      <c r="Q454" s="96"/>
      <c r="R454" s="96"/>
      <c r="S454" s="96"/>
      <c r="T454" s="96"/>
      <c r="U454" s="96"/>
      <c r="V454" s="96"/>
      <c r="W454" s="481"/>
      <c r="X454" s="772"/>
      <c r="Y454" s="96"/>
      <c r="Z454" s="4"/>
      <c r="AA454" s="4"/>
      <c r="AB454" s="4"/>
      <c r="AC454" s="4"/>
      <c r="AD454" s="4"/>
    </row>
    <row r="455" spans="1:30" ht="14.25" customHeight="1">
      <c r="A455" s="768"/>
      <c r="B455" s="4"/>
      <c r="C455" s="768" t="s">
        <v>1914</v>
      </c>
      <c r="D455" s="96"/>
      <c r="E455" s="96"/>
      <c r="F455" s="96"/>
      <c r="G455" s="96"/>
      <c r="H455" s="96"/>
      <c r="I455" s="96"/>
      <c r="J455" s="492"/>
      <c r="K455" s="492"/>
      <c r="L455" s="492"/>
      <c r="M455" s="492"/>
      <c r="N455" s="96"/>
      <c r="O455" s="96"/>
      <c r="P455" s="96"/>
      <c r="Q455" s="96"/>
      <c r="R455" s="96"/>
      <c r="S455" s="96"/>
      <c r="T455" s="96"/>
      <c r="U455" s="96"/>
      <c r="V455" s="96"/>
      <c r="W455" s="481"/>
      <c r="X455" s="772"/>
      <c r="Y455" s="96"/>
      <c r="Z455" s="4"/>
      <c r="AA455" s="4"/>
      <c r="AB455" s="4"/>
      <c r="AC455" s="4"/>
      <c r="AD455" s="4"/>
    </row>
    <row r="456" spans="1:30" ht="14.25" customHeight="1">
      <c r="A456" s="768"/>
      <c r="B456" s="4"/>
      <c r="C456" s="768" t="s">
        <v>1914</v>
      </c>
      <c r="D456" s="96"/>
      <c r="E456" s="96"/>
      <c r="F456" s="96"/>
      <c r="G456" s="96"/>
      <c r="H456" s="96"/>
      <c r="I456" s="96"/>
      <c r="J456" s="492"/>
      <c r="K456" s="492"/>
      <c r="L456" s="492"/>
      <c r="M456" s="492"/>
      <c r="N456" s="96"/>
      <c r="O456" s="96"/>
      <c r="P456" s="96"/>
      <c r="Q456" s="96"/>
      <c r="R456" s="96"/>
      <c r="S456" s="96"/>
      <c r="T456" s="96"/>
      <c r="U456" s="96"/>
      <c r="V456" s="96"/>
      <c r="W456" s="481"/>
      <c r="X456" s="772"/>
      <c r="Y456" s="96"/>
      <c r="Z456" s="4"/>
      <c r="AA456" s="4"/>
      <c r="AB456" s="4"/>
      <c r="AC456" s="4"/>
      <c r="AD456" s="4"/>
    </row>
    <row r="457" spans="1:30" ht="14.25" customHeight="1">
      <c r="A457" s="768" t="str">
        <f>Напрями!$A$68</f>
        <v>210M</v>
      </c>
      <c r="B457" s="4"/>
      <c r="C457" s="768" t="s">
        <v>1914</v>
      </c>
      <c r="D457" s="804" t="s">
        <v>2303</v>
      </c>
      <c r="E457" s="792"/>
      <c r="F457" s="792"/>
      <c r="G457" s="792"/>
      <c r="H457" s="792"/>
      <c r="I457" s="792"/>
      <c r="J457" s="792"/>
      <c r="K457" s="492"/>
      <c r="L457" s="792"/>
      <c r="M457" s="492"/>
      <c r="N457" s="96"/>
      <c r="O457" s="96"/>
      <c r="P457" s="96"/>
      <c r="Q457" s="96"/>
      <c r="R457" s="96"/>
      <c r="S457" s="96"/>
      <c r="T457" s="96"/>
      <c r="U457" s="96"/>
      <c r="V457" s="96"/>
      <c r="W457" s="481"/>
      <c r="X457" s="772"/>
      <c r="Y457" s="96"/>
      <c r="Z457" s="4"/>
      <c r="AA457" s="4"/>
      <c r="AB457" s="4"/>
      <c r="AC457" s="4"/>
      <c r="AD457" s="4"/>
    </row>
    <row r="458" spans="1:30" ht="14.25" customHeight="1">
      <c r="A458" s="768" t="str">
        <f>Напрями!$A$68</f>
        <v>210M</v>
      </c>
      <c r="B458" s="4"/>
      <c r="C458" s="768" t="s">
        <v>1914</v>
      </c>
      <c r="D458" s="143" t="s">
        <v>1304</v>
      </c>
      <c r="E458" s="113" t="s">
        <v>1388</v>
      </c>
      <c r="F458" s="113" t="s">
        <v>1307</v>
      </c>
      <c r="G458" s="113" t="s">
        <v>1308</v>
      </c>
      <c r="H458" s="113" t="s">
        <v>1309</v>
      </c>
      <c r="I458" s="113" t="s">
        <v>972</v>
      </c>
      <c r="J458" s="113" t="s">
        <v>973</v>
      </c>
      <c r="K458" s="143" t="s">
        <v>974</v>
      </c>
      <c r="L458" s="113"/>
      <c r="M458" s="492"/>
      <c r="N458" s="96"/>
      <c r="O458" s="96"/>
      <c r="P458" s="96"/>
      <c r="Q458" s="96"/>
      <c r="R458" s="96"/>
      <c r="S458" s="96"/>
      <c r="T458" s="96"/>
      <c r="U458" s="96"/>
      <c r="V458" s="96"/>
      <c r="W458" s="481"/>
      <c r="X458" s="772"/>
      <c r="Y458" s="96"/>
      <c r="Z458" s="4"/>
      <c r="AA458" s="4"/>
      <c r="AB458" s="4"/>
      <c r="AC458" s="4"/>
      <c r="AD458" s="4"/>
    </row>
    <row r="459" spans="1:30" ht="14.25" customHeight="1">
      <c r="A459" s="768" t="str">
        <f>Напрями!$A$68</f>
        <v>210M</v>
      </c>
      <c r="B459" s="4"/>
      <c r="C459" s="768" t="s">
        <v>1914</v>
      </c>
      <c r="D459" s="530" t="s">
        <v>2304</v>
      </c>
      <c r="E459" s="164">
        <v>140032.20000000001</v>
      </c>
      <c r="F459" s="164">
        <v>1</v>
      </c>
      <c r="G459" s="164">
        <v>1</v>
      </c>
      <c r="H459" s="164">
        <v>1</v>
      </c>
      <c r="I459" s="164">
        <v>140032.20000000001</v>
      </c>
      <c r="J459" s="164">
        <v>140032.20000000001</v>
      </c>
      <c r="K459" s="164">
        <v>140032.20000000001</v>
      </c>
      <c r="L459" s="164"/>
      <c r="M459" s="485">
        <v>0</v>
      </c>
      <c r="N459" s="485">
        <v>1</v>
      </c>
      <c r="O459" s="485">
        <v>1</v>
      </c>
      <c r="P459" s="588">
        <v>0</v>
      </c>
      <c r="Q459" s="588">
        <v>210048.2</v>
      </c>
      <c r="R459" s="588">
        <v>210048.2</v>
      </c>
      <c r="S459" s="487">
        <v>420096.4</v>
      </c>
      <c r="T459" s="487">
        <v>0</v>
      </c>
      <c r="U459" s="811">
        <v>8226.0629991413571</v>
      </c>
      <c r="V459" s="487">
        <v>8226.0629991413571</v>
      </c>
      <c r="W459" s="481">
        <v>16452.125998282714</v>
      </c>
      <c r="X459" s="772" t="s">
        <v>848</v>
      </c>
      <c r="Y459" s="96" t="s">
        <v>1914</v>
      </c>
      <c r="Z459" s="4"/>
      <c r="AA459" s="4"/>
      <c r="AB459" s="4"/>
      <c r="AC459" s="4"/>
      <c r="AD459" s="4"/>
    </row>
    <row r="460" spans="1:30" ht="14.25" customHeight="1">
      <c r="A460" s="768" t="str">
        <f>Напрями!$A$68</f>
        <v>210M</v>
      </c>
      <c r="B460" s="4"/>
      <c r="C460" s="768" t="s">
        <v>1914</v>
      </c>
      <c r="D460" s="530" t="s">
        <v>2305</v>
      </c>
      <c r="E460" s="164">
        <v>21252</v>
      </c>
      <c r="F460" s="164">
        <v>2</v>
      </c>
      <c r="G460" s="164">
        <v>5</v>
      </c>
      <c r="H460" s="164">
        <v>5</v>
      </c>
      <c r="I460" s="164">
        <v>42504</v>
      </c>
      <c r="J460" s="164">
        <v>106260</v>
      </c>
      <c r="K460" s="164">
        <v>106260</v>
      </c>
      <c r="L460" s="164"/>
      <c r="M460" s="485">
        <v>0</v>
      </c>
      <c r="N460" s="485">
        <v>1</v>
      </c>
      <c r="O460" s="485">
        <v>1</v>
      </c>
      <c r="P460" s="588">
        <v>0</v>
      </c>
      <c r="Q460" s="588">
        <v>127512</v>
      </c>
      <c r="R460" s="588">
        <v>127512</v>
      </c>
      <c r="S460" s="487">
        <v>255024</v>
      </c>
      <c r="T460" s="487">
        <v>0</v>
      </c>
      <c r="U460" s="811">
        <v>4993.7192756068025</v>
      </c>
      <c r="V460" s="487">
        <v>4993.7192756068025</v>
      </c>
      <c r="W460" s="481">
        <v>9987.438551213605</v>
      </c>
      <c r="X460" s="772" t="s">
        <v>950</v>
      </c>
      <c r="Y460" s="96" t="s">
        <v>1914</v>
      </c>
      <c r="Z460" s="4"/>
      <c r="AA460" s="4"/>
      <c r="AB460" s="4"/>
      <c r="AC460" s="4"/>
      <c r="AD460" s="4"/>
    </row>
    <row r="461" spans="1:30" ht="14.25" customHeight="1">
      <c r="A461" s="768" t="str">
        <f>Напрями!$A$68</f>
        <v>210M</v>
      </c>
      <c r="B461" s="4"/>
      <c r="C461" s="768" t="s">
        <v>1914</v>
      </c>
      <c r="D461" s="121" t="s">
        <v>1001</v>
      </c>
      <c r="E461" s="164"/>
      <c r="F461" s="164"/>
      <c r="G461" s="164"/>
      <c r="H461" s="164"/>
      <c r="I461" s="164">
        <v>18253.620000000003</v>
      </c>
      <c r="J461" s="164">
        <v>24629.22</v>
      </c>
      <c r="K461" s="164">
        <v>24629.22</v>
      </c>
      <c r="L461" s="164"/>
      <c r="M461" s="485">
        <v>0</v>
      </c>
      <c r="N461" s="485">
        <v>1</v>
      </c>
      <c r="O461" s="485">
        <v>1</v>
      </c>
      <c r="P461" s="588">
        <v>0</v>
      </c>
      <c r="Q461" s="588">
        <v>33756.22</v>
      </c>
      <c r="R461" s="588">
        <v>33756.22</v>
      </c>
      <c r="S461" s="487">
        <v>67512.44</v>
      </c>
      <c r="T461" s="487">
        <v>0</v>
      </c>
      <c r="U461" s="811">
        <v>1321.9860600227732</v>
      </c>
      <c r="V461" s="487">
        <v>1321.9860600227732</v>
      </c>
      <c r="W461" s="481">
        <v>2643.9721200455465</v>
      </c>
      <c r="X461" s="772" t="s">
        <v>875</v>
      </c>
      <c r="Y461" s="96" t="s">
        <v>1914</v>
      </c>
      <c r="Z461" s="4"/>
      <c r="AA461" s="4"/>
      <c r="AB461" s="4"/>
      <c r="AC461" s="4"/>
      <c r="AD461" s="4"/>
    </row>
    <row r="462" spans="1:30" ht="14.25" customHeight="1">
      <c r="A462" s="768" t="str">
        <f>Напрями!$A$68</f>
        <v>210M</v>
      </c>
      <c r="B462" s="4"/>
      <c r="C462" s="768" t="s">
        <v>1914</v>
      </c>
      <c r="D462" s="121" t="s">
        <v>962</v>
      </c>
      <c r="E462" s="264"/>
      <c r="F462" s="221"/>
      <c r="G462" s="221"/>
      <c r="H462" s="221"/>
      <c r="I462" s="164">
        <v>27380.43</v>
      </c>
      <c r="J462" s="164">
        <v>36943.83</v>
      </c>
      <c r="K462" s="164">
        <v>36943.83</v>
      </c>
      <c r="L462" s="164"/>
      <c r="M462" s="485">
        <v>0</v>
      </c>
      <c r="N462" s="485">
        <v>1</v>
      </c>
      <c r="O462" s="485">
        <v>1</v>
      </c>
      <c r="P462" s="588">
        <v>0</v>
      </c>
      <c r="Q462" s="588">
        <v>50633.83</v>
      </c>
      <c r="R462" s="588">
        <v>50633.83</v>
      </c>
      <c r="S462" s="487">
        <v>101267.66</v>
      </c>
      <c r="T462" s="487">
        <v>0</v>
      </c>
      <c r="U462" s="811">
        <v>1982.9595086642667</v>
      </c>
      <c r="V462" s="487">
        <v>1982.9595086642667</v>
      </c>
      <c r="W462" s="481">
        <v>3965.9190173285333</v>
      </c>
      <c r="X462" s="772" t="s">
        <v>881</v>
      </c>
      <c r="Y462" s="96" t="s">
        <v>1914</v>
      </c>
      <c r="Z462" s="4"/>
      <c r="AA462" s="4"/>
      <c r="AB462" s="4"/>
      <c r="AC462" s="4"/>
      <c r="AD462" s="4"/>
    </row>
    <row r="463" spans="1:30" ht="14.25" customHeight="1">
      <c r="A463" s="768" t="str">
        <f>Напрями!$A$68</f>
        <v>210M</v>
      </c>
      <c r="B463" s="4"/>
      <c r="C463" s="768" t="s">
        <v>1914</v>
      </c>
      <c r="D463" s="546" t="s">
        <v>1047</v>
      </c>
      <c r="E463" s="547"/>
      <c r="F463" s="547"/>
      <c r="G463" s="547"/>
      <c r="H463" s="547"/>
      <c r="I463" s="488">
        <v>228170.25</v>
      </c>
      <c r="J463" s="488">
        <v>307865.25000000006</v>
      </c>
      <c r="K463" s="488">
        <v>307865.25000000006</v>
      </c>
      <c r="L463" s="488"/>
      <c r="M463" s="485">
        <v>1</v>
      </c>
      <c r="N463" s="485">
        <v>1</v>
      </c>
      <c r="O463" s="485">
        <v>1</v>
      </c>
      <c r="P463" s="588"/>
      <c r="Q463" s="588"/>
      <c r="R463" s="588"/>
      <c r="S463" s="487"/>
      <c r="T463" s="487"/>
      <c r="U463" s="487"/>
      <c r="V463" s="487"/>
      <c r="W463" s="491"/>
      <c r="X463" s="772"/>
      <c r="Y463" s="96"/>
      <c r="Z463" s="4"/>
      <c r="AA463" s="4"/>
      <c r="AB463" s="4"/>
      <c r="AC463" s="4"/>
      <c r="AD463" s="4"/>
    </row>
    <row r="464" spans="1:30" ht="14.25" customHeight="1">
      <c r="A464" s="768"/>
      <c r="B464" s="4"/>
      <c r="C464" s="768" t="s">
        <v>1914</v>
      </c>
      <c r="D464" s="96"/>
      <c r="E464" s="96"/>
      <c r="F464" s="96"/>
      <c r="G464" s="96"/>
      <c r="H464" s="96"/>
      <c r="I464" s="563">
        <v>8935.7721276822795</v>
      </c>
      <c r="J464" s="563">
        <v>12056.846674936534</v>
      </c>
      <c r="K464" s="563">
        <v>12056.846674936534</v>
      </c>
      <c r="L464" s="563"/>
      <c r="M464" s="492"/>
      <c r="N464" s="96"/>
      <c r="O464" s="96"/>
      <c r="P464" s="96"/>
      <c r="Q464" s="96"/>
      <c r="R464" s="96"/>
      <c r="S464" s="96"/>
      <c r="T464" s="96"/>
      <c r="U464" s="96"/>
      <c r="V464" s="96"/>
      <c r="W464" s="481"/>
      <c r="X464" s="772"/>
      <c r="Y464" s="96"/>
      <c r="Z464" s="4"/>
      <c r="AA464" s="4"/>
      <c r="AB464" s="4"/>
      <c r="AC464" s="4"/>
      <c r="AD464" s="4"/>
    </row>
    <row r="465" spans="1:30" ht="14.25" customHeight="1">
      <c r="A465" s="768"/>
      <c r="B465" s="4"/>
      <c r="C465" s="768" t="s">
        <v>1914</v>
      </c>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4.25" customHeight="1">
      <c r="A466" s="768"/>
      <c r="B466" s="4"/>
      <c r="C466" s="768" t="s">
        <v>1914</v>
      </c>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4.25" customHeight="1">
      <c r="A467" s="768" t="str">
        <f>Напрями!$A$69</f>
        <v>211M</v>
      </c>
      <c r="B467" s="4"/>
      <c r="C467" s="768" t="s">
        <v>1914</v>
      </c>
      <c r="D467" s="804" t="s">
        <v>2306</v>
      </c>
      <c r="E467" s="792"/>
      <c r="F467" s="792"/>
      <c r="G467" s="792"/>
      <c r="H467" s="792"/>
      <c r="I467" s="792"/>
      <c r="J467" s="792"/>
      <c r="K467" s="492"/>
      <c r="L467" s="792"/>
      <c r="M467" s="492"/>
      <c r="N467" s="96"/>
      <c r="O467" s="96"/>
      <c r="P467" s="96"/>
      <c r="Q467" s="96"/>
      <c r="R467" s="96"/>
      <c r="S467" s="96"/>
      <c r="T467" s="96"/>
      <c r="U467" s="96"/>
      <c r="V467" s="96"/>
      <c r="W467" s="481"/>
      <c r="X467" s="772"/>
      <c r="Y467" s="4"/>
      <c r="Z467" s="4"/>
      <c r="AA467" s="4"/>
      <c r="AB467" s="4"/>
      <c r="AC467" s="4"/>
      <c r="AD467" s="4"/>
    </row>
    <row r="468" spans="1:30" ht="14.25" customHeight="1">
      <c r="A468" s="768" t="str">
        <f>Напрями!$A$69</f>
        <v>211M</v>
      </c>
      <c r="B468" s="4"/>
      <c r="C468" s="768" t="s">
        <v>1914</v>
      </c>
      <c r="D468" s="143" t="s">
        <v>1304</v>
      </c>
      <c r="E468" s="113" t="s">
        <v>1388</v>
      </c>
      <c r="F468" s="113" t="s">
        <v>1307</v>
      </c>
      <c r="G468" s="113" t="s">
        <v>1308</v>
      </c>
      <c r="H468" s="113" t="s">
        <v>1309</v>
      </c>
      <c r="I468" s="113" t="s">
        <v>972</v>
      </c>
      <c r="J468" s="113" t="s">
        <v>973</v>
      </c>
      <c r="K468" s="143" t="s">
        <v>974</v>
      </c>
      <c r="L468" s="113"/>
      <c r="M468" s="492"/>
      <c r="N468" s="96"/>
      <c r="O468" s="96"/>
      <c r="P468" s="96"/>
      <c r="Q468" s="96"/>
      <c r="R468" s="96"/>
      <c r="S468" s="96"/>
      <c r="T468" s="96"/>
      <c r="U468" s="96"/>
      <c r="V468" s="96"/>
      <c r="W468" s="481"/>
      <c r="X468" s="772"/>
      <c r="Y468" s="4"/>
      <c r="Z468" s="4"/>
      <c r="AA468" s="4"/>
      <c r="AB468" s="4"/>
      <c r="AC468" s="4"/>
      <c r="AD468" s="4"/>
    </row>
    <row r="469" spans="1:30" ht="14.25" customHeight="1">
      <c r="A469" s="768" t="str">
        <f>Напрями!$A$69</f>
        <v>211M</v>
      </c>
      <c r="B469" s="4"/>
      <c r="C469" s="768" t="s">
        <v>1914</v>
      </c>
      <c r="D469" s="530" t="s">
        <v>2307</v>
      </c>
      <c r="E469" s="164">
        <v>10213.790000000001</v>
      </c>
      <c r="F469" s="164">
        <v>72</v>
      </c>
      <c r="G469" s="164">
        <v>288</v>
      </c>
      <c r="H469" s="164">
        <v>288</v>
      </c>
      <c r="I469" s="164">
        <v>735392.88000000012</v>
      </c>
      <c r="J469" s="164">
        <v>2941571.5200000005</v>
      </c>
      <c r="K469" s="164">
        <v>2941571.5200000005</v>
      </c>
      <c r="L469" s="164"/>
      <c r="M469" s="485">
        <v>0</v>
      </c>
      <c r="N469" s="485">
        <v>1</v>
      </c>
      <c r="O469" s="485">
        <v>1</v>
      </c>
      <c r="P469" s="588">
        <v>0</v>
      </c>
      <c r="Q469" s="588">
        <v>3309268.0200000005</v>
      </c>
      <c r="R469" s="588">
        <v>3309268.0200000005</v>
      </c>
      <c r="S469" s="487">
        <v>6618536.040000001</v>
      </c>
      <c r="T469" s="487">
        <v>0</v>
      </c>
      <c r="U469" s="811">
        <v>129600.0023497644</v>
      </c>
      <c r="V469" s="487">
        <v>129600.0023497644</v>
      </c>
      <c r="W469" s="481">
        <v>259200.0046995288</v>
      </c>
      <c r="X469" s="772" t="s">
        <v>977</v>
      </c>
      <c r="Y469" s="4"/>
      <c r="Z469" s="4"/>
      <c r="AA469" s="4"/>
      <c r="AB469" s="4"/>
      <c r="AC469" s="4"/>
      <c r="AD469" s="4"/>
    </row>
    <row r="470" spans="1:30" ht="14.25" customHeight="1">
      <c r="A470" s="768" t="s">
        <v>2308</v>
      </c>
      <c r="B470" s="4"/>
      <c r="C470" s="812" t="s">
        <v>1914</v>
      </c>
      <c r="D470" s="227" t="s">
        <v>2309</v>
      </c>
      <c r="E470" s="164"/>
      <c r="F470" s="164"/>
      <c r="G470" s="164"/>
      <c r="H470" s="164"/>
      <c r="I470" s="164"/>
      <c r="J470" s="164"/>
      <c r="K470" s="231" t="s">
        <v>2310</v>
      </c>
      <c r="L470" s="164"/>
      <c r="M470" s="485"/>
      <c r="N470" s="485"/>
      <c r="O470" s="485"/>
      <c r="P470" s="588"/>
      <c r="Q470" s="588"/>
      <c r="R470" s="588"/>
      <c r="S470" s="487"/>
      <c r="T470" s="487"/>
      <c r="U470" s="811"/>
      <c r="V470" s="487"/>
      <c r="W470" s="481"/>
      <c r="X470" s="772"/>
      <c r="Y470" s="4"/>
      <c r="Z470" s="4"/>
      <c r="AA470" s="4"/>
      <c r="AB470" s="4"/>
      <c r="AC470" s="4"/>
      <c r="AD470" s="4"/>
    </row>
    <row r="471" spans="1:30" ht="14.25" customHeight="1">
      <c r="A471" s="768" t="str">
        <f>Напрями!$A$69</f>
        <v>211M</v>
      </c>
      <c r="B471" s="4"/>
      <c r="C471" s="768" t="s">
        <v>1914</v>
      </c>
      <c r="D471" s="121" t="s">
        <v>1001</v>
      </c>
      <c r="E471" s="164"/>
      <c r="F471" s="164"/>
      <c r="G471" s="164"/>
      <c r="H471" s="164"/>
      <c r="I471" s="164">
        <v>73539.288000000015</v>
      </c>
      <c r="J471" s="164">
        <v>294157.15200000006</v>
      </c>
      <c r="K471" s="164">
        <v>294157.15200000006</v>
      </c>
      <c r="L471" s="164"/>
      <c r="M471" s="485">
        <v>0</v>
      </c>
      <c r="N471" s="485">
        <v>1</v>
      </c>
      <c r="O471" s="485">
        <v>1</v>
      </c>
      <c r="P471" s="588">
        <v>0</v>
      </c>
      <c r="Q471" s="588">
        <v>330926.65200000006</v>
      </c>
      <c r="R471" s="588">
        <v>330926.65200000006</v>
      </c>
      <c r="S471" s="487">
        <v>661853.30400000012</v>
      </c>
      <c r="T471" s="487">
        <v>0</v>
      </c>
      <c r="U471" s="811">
        <v>12959.994360565473</v>
      </c>
      <c r="V471" s="487">
        <v>12959.994360565473</v>
      </c>
      <c r="W471" s="481">
        <v>25919.988721130947</v>
      </c>
      <c r="X471" s="772" t="s">
        <v>875</v>
      </c>
      <c r="Y471" s="4"/>
      <c r="Z471" s="4"/>
      <c r="AA471" s="4"/>
      <c r="AB471" s="4"/>
      <c r="AC471" s="4"/>
      <c r="AD471" s="4"/>
    </row>
    <row r="472" spans="1:30" ht="14.25" customHeight="1">
      <c r="A472" s="768" t="str">
        <f>Напрями!$A$69</f>
        <v>211M</v>
      </c>
      <c r="B472" s="4"/>
      <c r="C472" s="768" t="s">
        <v>1914</v>
      </c>
      <c r="D472" s="121" t="s">
        <v>962</v>
      </c>
      <c r="E472" s="264"/>
      <c r="F472" s="221"/>
      <c r="G472" s="221"/>
      <c r="H472" s="221"/>
      <c r="I472" s="164">
        <v>110308.93200000002</v>
      </c>
      <c r="J472" s="164">
        <v>441235.72800000006</v>
      </c>
      <c r="K472" s="164">
        <v>441235.72800000006</v>
      </c>
      <c r="L472" s="164"/>
      <c r="M472" s="485">
        <v>0</v>
      </c>
      <c r="N472" s="485">
        <v>1</v>
      </c>
      <c r="O472" s="485">
        <v>1</v>
      </c>
      <c r="P472" s="588">
        <v>0</v>
      </c>
      <c r="Q472" s="588">
        <v>496390.22800000006</v>
      </c>
      <c r="R472" s="588">
        <v>496390.22800000006</v>
      </c>
      <c r="S472" s="487">
        <v>992780.45600000012</v>
      </c>
      <c r="T472" s="487">
        <v>0</v>
      </c>
      <c r="U472" s="811">
        <v>19440.001331533156</v>
      </c>
      <c r="V472" s="487">
        <v>19440.001331533156</v>
      </c>
      <c r="W472" s="481">
        <v>38880.002663066312</v>
      </c>
      <c r="X472" s="772" t="s">
        <v>881</v>
      </c>
      <c r="Y472" s="4"/>
      <c r="Z472" s="4"/>
      <c r="AA472" s="4"/>
      <c r="AB472" s="4"/>
      <c r="AC472" s="4"/>
      <c r="AD472" s="4"/>
    </row>
    <row r="473" spans="1:30" ht="14.25" customHeight="1">
      <c r="A473" s="768" t="str">
        <f>Напрями!$A$69</f>
        <v>211M</v>
      </c>
      <c r="B473" s="4"/>
      <c r="C473" s="768" t="s">
        <v>1914</v>
      </c>
      <c r="D473" s="546" t="s">
        <v>1047</v>
      </c>
      <c r="E473" s="547"/>
      <c r="F473" s="547"/>
      <c r="G473" s="547"/>
      <c r="H473" s="547"/>
      <c r="I473" s="488">
        <v>919241.10000000021</v>
      </c>
      <c r="J473" s="488">
        <v>3676964.4000000008</v>
      </c>
      <c r="K473" s="488">
        <v>3676964.4000000008</v>
      </c>
      <c r="L473" s="488"/>
      <c r="M473" s="485">
        <v>1</v>
      </c>
      <c r="N473" s="485">
        <v>1</v>
      </c>
      <c r="O473" s="485">
        <v>1</v>
      </c>
      <c r="P473" s="588"/>
      <c r="Q473" s="588"/>
      <c r="R473" s="588"/>
      <c r="S473" s="487"/>
      <c r="T473" s="487"/>
      <c r="U473" s="487"/>
      <c r="V473" s="487"/>
      <c r="W473" s="491"/>
      <c r="X473" s="772"/>
      <c r="Y473" s="4"/>
      <c r="Z473" s="4"/>
      <c r="AA473" s="4"/>
      <c r="AB473" s="4"/>
      <c r="AC473" s="4"/>
      <c r="AD473" s="4"/>
    </row>
    <row r="474" spans="1:30" ht="14.25" customHeight="1">
      <c r="A474" s="768"/>
      <c r="B474" s="4"/>
      <c r="C474" s="768"/>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4.25" customHeight="1">
      <c r="A475" s="768"/>
      <c r="B475" s="4"/>
      <c r="C475" s="768"/>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4.25" customHeight="1">
      <c r="A476" s="768"/>
      <c r="B476" s="4"/>
      <c r="C476" s="768" t="s">
        <v>1932</v>
      </c>
      <c r="D476" s="790" t="s">
        <v>2311</v>
      </c>
      <c r="E476" s="791"/>
      <c r="F476" s="96"/>
      <c r="G476" s="96"/>
      <c r="H476" s="589"/>
      <c r="I476" s="589"/>
      <c r="J476" s="589"/>
      <c r="K476" s="96"/>
      <c r="L476" s="589"/>
      <c r="M476" s="589"/>
      <c r="N476" s="589"/>
      <c r="O476" s="589"/>
      <c r="P476" s="96"/>
      <c r="Q476" s="96"/>
      <c r="R476" s="96"/>
      <c r="S476" s="96"/>
      <c r="T476" s="96"/>
      <c r="U476" s="96"/>
      <c r="V476" s="96"/>
      <c r="W476" s="481"/>
      <c r="X476" s="772"/>
      <c r="Y476" s="96"/>
      <c r="Z476" s="4"/>
      <c r="AA476" s="4"/>
      <c r="AB476" s="4"/>
      <c r="AC476" s="4"/>
      <c r="AD476" s="4"/>
    </row>
    <row r="477" spans="1:30" ht="14.25" customHeight="1">
      <c r="A477" s="768"/>
      <c r="B477" s="4"/>
      <c r="C477" s="768" t="s">
        <v>1932</v>
      </c>
      <c r="D477" s="477" t="s">
        <v>2075</v>
      </c>
      <c r="E477" s="525" t="s">
        <v>394</v>
      </c>
      <c r="F477" s="525" t="s">
        <v>2076</v>
      </c>
      <c r="G477" s="525" t="s">
        <v>2077</v>
      </c>
      <c r="H477" s="478" t="s">
        <v>2078</v>
      </c>
      <c r="I477" s="478" t="s">
        <v>2136</v>
      </c>
      <c r="J477" s="479" t="s">
        <v>2137</v>
      </c>
      <c r="K477" s="96"/>
      <c r="L477" s="492"/>
      <c r="M477" s="492"/>
      <c r="N477" s="96"/>
      <c r="O477" s="96"/>
      <c r="P477" s="96"/>
      <c r="Q477" s="96"/>
      <c r="R477" s="96"/>
      <c r="S477" s="96"/>
      <c r="T477" s="96"/>
      <c r="U477" s="96"/>
      <c r="V477" s="96"/>
      <c r="W477" s="481"/>
      <c r="X477" s="772"/>
      <c r="Y477" s="96"/>
      <c r="Z477" s="4"/>
      <c r="AA477" s="4"/>
      <c r="AB477" s="4"/>
      <c r="AC477" s="4"/>
      <c r="AD477" s="4"/>
    </row>
    <row r="478" spans="1:30" ht="14.25" customHeight="1">
      <c r="A478" s="768"/>
      <c r="B478" s="4"/>
      <c r="C478" s="768" t="s">
        <v>1932</v>
      </c>
      <c r="D478" s="104" t="s">
        <v>2312</v>
      </c>
      <c r="E478" s="527" t="s">
        <v>2313</v>
      </c>
      <c r="F478" s="544">
        <v>42804.600000000006</v>
      </c>
      <c r="G478" s="527">
        <v>1</v>
      </c>
      <c r="H478" s="527">
        <v>6</v>
      </c>
      <c r="I478" s="483">
        <v>42804.600000000006</v>
      </c>
      <c r="J478" s="483">
        <v>1676.3454114486397</v>
      </c>
      <c r="K478" s="96"/>
      <c r="L478" s="492"/>
      <c r="M478" s="813"/>
      <c r="N478" s="813">
        <v>3</v>
      </c>
      <c r="O478" s="813">
        <v>3</v>
      </c>
      <c r="P478" s="486">
        <v>0</v>
      </c>
      <c r="Q478" s="486">
        <v>128413.80000000002</v>
      </c>
      <c r="R478" s="486">
        <v>128413.80000000002</v>
      </c>
      <c r="S478" s="487">
        <v>256827.60000000003</v>
      </c>
      <c r="T478" s="487">
        <v>0</v>
      </c>
      <c r="U478" s="487">
        <v>5029.0362343459192</v>
      </c>
      <c r="V478" s="487">
        <v>5029.0362343459192</v>
      </c>
      <c r="W478" s="481">
        <v>10058.072468691838</v>
      </c>
      <c r="X478" s="814" t="s">
        <v>809</v>
      </c>
      <c r="Y478" s="96" t="s">
        <v>1932</v>
      </c>
      <c r="Z478" s="4"/>
      <c r="AA478" s="4"/>
      <c r="AB478" s="4"/>
      <c r="AC478" s="4"/>
      <c r="AD478" s="4"/>
    </row>
    <row r="479" spans="1:30" ht="14.25" customHeight="1">
      <c r="A479" s="768"/>
      <c r="B479" s="4"/>
      <c r="C479" s="768" t="s">
        <v>1932</v>
      </c>
      <c r="D479" s="530" t="s">
        <v>849</v>
      </c>
      <c r="E479" s="96"/>
      <c r="F479" s="96"/>
      <c r="G479" s="96"/>
      <c r="H479" s="96"/>
      <c r="I479" s="96"/>
      <c r="J479" s="492"/>
      <c r="K479" s="96"/>
      <c r="L479" s="492"/>
      <c r="M479" s="490">
        <v>0</v>
      </c>
      <c r="N479" s="490">
        <v>3</v>
      </c>
      <c r="O479" s="490">
        <v>3</v>
      </c>
      <c r="P479" s="490">
        <v>0</v>
      </c>
      <c r="Q479" s="490">
        <v>128413.80000000002</v>
      </c>
      <c r="R479" s="490">
        <v>128413.80000000002</v>
      </c>
      <c r="S479" s="490">
        <v>256827.60000000003</v>
      </c>
      <c r="T479" s="490">
        <v>0</v>
      </c>
      <c r="U479" s="490">
        <v>5029.0362343459192</v>
      </c>
      <c r="V479" s="490">
        <v>5029.0362343459192</v>
      </c>
      <c r="W479" s="490">
        <v>10058.072468691838</v>
      </c>
      <c r="X479" s="772"/>
      <c r="Y479" s="96"/>
      <c r="Z479" s="4"/>
      <c r="AA479" s="4"/>
      <c r="AB479" s="4"/>
      <c r="AC479" s="4"/>
      <c r="AD479" s="4"/>
    </row>
    <row r="480" spans="1:30" ht="14.25" customHeight="1">
      <c r="A480" s="768"/>
      <c r="B480" s="4"/>
      <c r="C480" s="768"/>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4.25" customHeight="1">
      <c r="A481" s="768"/>
      <c r="B481" s="4"/>
      <c r="C481" s="768"/>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4.25" customHeight="1">
      <c r="A482" s="768" t="str">
        <f>Напрями!$A$48</f>
        <v>154M1</v>
      </c>
      <c r="B482" s="4"/>
      <c r="C482" s="768" t="s">
        <v>1943</v>
      </c>
      <c r="D482" s="790" t="s">
        <v>2314</v>
      </c>
      <c r="E482" s="791"/>
      <c r="F482" s="96"/>
      <c r="G482" s="96"/>
      <c r="H482" s="589"/>
      <c r="I482" s="589"/>
      <c r="J482" s="589"/>
      <c r="K482" s="96"/>
      <c r="L482" s="589"/>
      <c r="M482" s="589"/>
      <c r="N482" s="589"/>
      <c r="O482" s="589"/>
      <c r="P482" s="96"/>
      <c r="Q482" s="96"/>
      <c r="R482" s="96"/>
      <c r="S482" s="96"/>
      <c r="T482" s="96"/>
      <c r="U482" s="96"/>
      <c r="V482" s="96"/>
      <c r="W482" s="481"/>
      <c r="X482" s="772"/>
      <c r="Y482" s="96"/>
      <c r="Z482" s="4"/>
      <c r="AA482" s="4"/>
      <c r="AB482" s="4"/>
      <c r="AC482" s="4"/>
      <c r="AD482" s="4"/>
    </row>
    <row r="483" spans="1:30" ht="14.25" customHeight="1">
      <c r="A483" s="768" t="str">
        <f>Напрями!$A$48</f>
        <v>154M1</v>
      </c>
      <c r="B483" s="4"/>
      <c r="C483" s="768" t="s">
        <v>1943</v>
      </c>
      <c r="D483" s="524" t="s">
        <v>2075</v>
      </c>
      <c r="E483" s="488" t="s">
        <v>2145</v>
      </c>
      <c r="F483" s="488" t="s">
        <v>933</v>
      </c>
      <c r="G483" s="96"/>
      <c r="H483" s="96"/>
      <c r="I483" s="96"/>
      <c r="J483" s="492"/>
      <c r="K483" s="96"/>
      <c r="L483" s="492"/>
      <c r="M483" s="492"/>
      <c r="N483" s="96"/>
      <c r="O483" s="96"/>
      <c r="P483" s="96"/>
      <c r="Q483" s="96"/>
      <c r="R483" s="96"/>
      <c r="S483" s="96"/>
      <c r="T483" s="96"/>
      <c r="U483" s="96"/>
      <c r="V483" s="96"/>
      <c r="W483" s="481"/>
      <c r="X483" s="772"/>
      <c r="Y483" s="96"/>
      <c r="Z483" s="4"/>
      <c r="AA483" s="4"/>
      <c r="AB483" s="4"/>
      <c r="AC483" s="4"/>
      <c r="AD483" s="4"/>
    </row>
    <row r="484" spans="1:30" ht="14.25" customHeight="1">
      <c r="A484" s="768" t="str">
        <f>Напрями!$A$48</f>
        <v>154M1</v>
      </c>
      <c r="B484" s="4"/>
      <c r="C484" s="768" t="s">
        <v>1943</v>
      </c>
      <c r="D484" s="530" t="s">
        <v>2314</v>
      </c>
      <c r="E484" s="551">
        <v>5000</v>
      </c>
      <c r="F484" s="552">
        <v>127672.375</v>
      </c>
      <c r="G484" s="96"/>
      <c r="H484" s="96"/>
      <c r="I484" s="96"/>
      <c r="J484" s="492"/>
      <c r="K484" s="96"/>
      <c r="L484" s="492"/>
      <c r="M484" s="807"/>
      <c r="N484" s="807">
        <v>15</v>
      </c>
      <c r="O484" s="807">
        <v>15</v>
      </c>
      <c r="P484" s="486">
        <v>0</v>
      </c>
      <c r="Q484" s="486">
        <v>1915085.625</v>
      </c>
      <c r="R484" s="486">
        <v>1915085.625</v>
      </c>
      <c r="S484" s="487">
        <v>3830171.25</v>
      </c>
      <c r="T484" s="487">
        <v>0</v>
      </c>
      <c r="U484" s="487">
        <v>75000</v>
      </c>
      <c r="V484" s="487">
        <v>75000</v>
      </c>
      <c r="W484" s="481">
        <v>150000</v>
      </c>
      <c r="X484" s="772" t="s">
        <v>1941</v>
      </c>
      <c r="Y484" s="96" t="s">
        <v>1943</v>
      </c>
      <c r="Z484" s="4"/>
      <c r="AA484" s="4"/>
      <c r="AB484" s="4"/>
      <c r="AC484" s="4"/>
      <c r="AD484" s="4"/>
    </row>
    <row r="485" spans="1:30" ht="14.25" customHeight="1">
      <c r="A485" s="768"/>
      <c r="B485" s="4"/>
      <c r="C485" s="768"/>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4.25" customHeight="1">
      <c r="A486" s="768"/>
      <c r="B486" s="4"/>
      <c r="C486" s="768"/>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4.25" customHeight="1">
      <c r="A487" s="768" t="str">
        <f>Напрями!$A$70</f>
        <v>212M</v>
      </c>
      <c r="B487" s="4"/>
      <c r="C487" s="768" t="s">
        <v>1947</v>
      </c>
      <c r="D487" s="804" t="s">
        <v>2315</v>
      </c>
      <c r="E487" s="792"/>
      <c r="F487" s="792"/>
      <c r="G487" s="792"/>
      <c r="H487" s="792"/>
      <c r="I487" s="792"/>
      <c r="J487" s="792"/>
      <c r="K487" s="96"/>
      <c r="L487" s="792"/>
      <c r="M487" s="792"/>
      <c r="N487" s="96"/>
      <c r="O487" s="96"/>
      <c r="P487" s="96"/>
      <c r="Q487" s="96"/>
      <c r="R487" s="96"/>
      <c r="S487" s="96"/>
      <c r="T487" s="96"/>
      <c r="U487" s="96"/>
      <c r="V487" s="96"/>
      <c r="W487" s="481"/>
      <c r="X487" s="772"/>
      <c r="Y487" s="4"/>
      <c r="Z487" s="4"/>
      <c r="AA487" s="4"/>
      <c r="AB487" s="4"/>
      <c r="AC487" s="4"/>
      <c r="AD487" s="4"/>
    </row>
    <row r="488" spans="1:30" ht="14.25" customHeight="1">
      <c r="A488" s="768" t="str">
        <f>Напрями!$A$70</f>
        <v>212M</v>
      </c>
      <c r="B488" s="4"/>
      <c r="C488" s="768" t="s">
        <v>1947</v>
      </c>
      <c r="D488" s="524" t="s">
        <v>2075</v>
      </c>
      <c r="E488" s="525" t="s">
        <v>394</v>
      </c>
      <c r="F488" s="525" t="s">
        <v>2076</v>
      </c>
      <c r="G488" s="525" t="s">
        <v>2077</v>
      </c>
      <c r="H488" s="478" t="s">
        <v>2078</v>
      </c>
      <c r="I488" s="478" t="s">
        <v>2136</v>
      </c>
      <c r="J488" s="479" t="s">
        <v>2137</v>
      </c>
      <c r="K488" s="96"/>
      <c r="L488" s="480"/>
      <c r="M488" s="480"/>
      <c r="N488" s="96"/>
      <c r="O488" s="96"/>
      <c r="P488" s="96"/>
      <c r="Q488" s="96"/>
      <c r="R488" s="96"/>
      <c r="S488" s="96"/>
      <c r="T488" s="96"/>
      <c r="U488" s="96"/>
      <c r="V488" s="96"/>
      <c r="W488" s="481"/>
      <c r="X488" s="772"/>
      <c r="Y488" s="4"/>
      <c r="Z488" s="4"/>
      <c r="AA488" s="4"/>
      <c r="AB488" s="4"/>
      <c r="AC488" s="4"/>
      <c r="AD488" s="4"/>
    </row>
    <row r="489" spans="1:30" ht="14.25" customHeight="1">
      <c r="A489" s="768" t="str">
        <f>Напрями!$A$70</f>
        <v>212M</v>
      </c>
      <c r="B489" s="4"/>
      <c r="C489" s="768" t="s">
        <v>1947</v>
      </c>
      <c r="D489" s="530" t="s">
        <v>2316</v>
      </c>
      <c r="E489" s="527" t="s">
        <v>2317</v>
      </c>
      <c r="F489" s="544">
        <v>105874.45</v>
      </c>
      <c r="G489" s="527">
        <v>1</v>
      </c>
      <c r="H489" s="527">
        <v>9</v>
      </c>
      <c r="I489" s="483">
        <v>952870.04999999993</v>
      </c>
      <c r="J489" s="483">
        <v>37317.001818130193</v>
      </c>
      <c r="K489" s="96"/>
      <c r="L489" s="484"/>
      <c r="M489" s="485">
        <v>0</v>
      </c>
      <c r="N489" s="485">
        <v>0.5</v>
      </c>
      <c r="O489" s="485">
        <v>0.5</v>
      </c>
      <c r="P489" s="486">
        <v>0</v>
      </c>
      <c r="Q489" s="486">
        <v>476435.02499999997</v>
      </c>
      <c r="R489" s="486">
        <v>476435.02499999997</v>
      </c>
      <c r="S489" s="487">
        <v>952870.04999999993</v>
      </c>
      <c r="T489" s="487">
        <v>0</v>
      </c>
      <c r="U489" s="487">
        <v>18658.500909065096</v>
      </c>
      <c r="V489" s="487">
        <v>18658.500909065096</v>
      </c>
      <c r="W489" s="481">
        <v>37317.001818130193</v>
      </c>
      <c r="X489" s="772" t="s">
        <v>950</v>
      </c>
      <c r="Y489" s="4"/>
      <c r="Z489" s="4"/>
      <c r="AA489" s="4"/>
      <c r="AB489" s="4"/>
      <c r="AC489" s="4"/>
      <c r="AD489" s="4"/>
    </row>
    <row r="490" spans="1:30" ht="14.25" customHeight="1">
      <c r="A490" s="768" t="str">
        <f>Напрями!$A$70</f>
        <v>212M</v>
      </c>
      <c r="B490" s="4"/>
      <c r="C490" s="768" t="s">
        <v>1947</v>
      </c>
      <c r="D490" s="530" t="s">
        <v>2318</v>
      </c>
      <c r="E490" s="527" t="s">
        <v>2319</v>
      </c>
      <c r="F490" s="544">
        <v>52000</v>
      </c>
      <c r="G490" s="527">
        <v>1</v>
      </c>
      <c r="H490" s="527">
        <v>1</v>
      </c>
      <c r="I490" s="483">
        <v>52000</v>
      </c>
      <c r="J490" s="483">
        <v>2036.4624688778601</v>
      </c>
      <c r="K490" s="96"/>
      <c r="L490" s="484"/>
      <c r="M490" s="485">
        <v>0</v>
      </c>
      <c r="N490" s="485">
        <v>0.5</v>
      </c>
      <c r="O490" s="485">
        <v>0.5</v>
      </c>
      <c r="P490" s="486">
        <v>0</v>
      </c>
      <c r="Q490" s="486">
        <v>26000</v>
      </c>
      <c r="R490" s="486">
        <v>26000</v>
      </c>
      <c r="S490" s="487">
        <v>52000</v>
      </c>
      <c r="T490" s="487">
        <v>0</v>
      </c>
      <c r="U490" s="487">
        <v>1018.2312344389301</v>
      </c>
      <c r="V490" s="487">
        <v>1018.2312344389301</v>
      </c>
      <c r="W490" s="481">
        <v>2036.4624688778601</v>
      </c>
      <c r="X490" s="772" t="s">
        <v>1000</v>
      </c>
      <c r="Y490" s="4"/>
      <c r="Z490" s="4"/>
      <c r="AA490" s="4"/>
      <c r="AB490" s="4"/>
      <c r="AC490" s="4"/>
      <c r="AD490" s="4"/>
    </row>
    <row r="491" spans="1:30" ht="14.25" customHeight="1">
      <c r="A491" s="768" t="str">
        <f>Напрями!$A$70</f>
        <v>212M</v>
      </c>
      <c r="B491" s="4"/>
      <c r="C491" s="768" t="s">
        <v>1947</v>
      </c>
      <c r="D491" s="530" t="s">
        <v>2320</v>
      </c>
      <c r="E491" s="527" t="s">
        <v>2321</v>
      </c>
      <c r="F491" s="544">
        <v>3334.1000000000004</v>
      </c>
      <c r="G491" s="527">
        <v>1</v>
      </c>
      <c r="H491" s="527">
        <v>15</v>
      </c>
      <c r="I491" s="483">
        <v>50011.500000000007</v>
      </c>
      <c r="J491" s="483">
        <v>1958.5873608131753</v>
      </c>
      <c r="K491" s="96"/>
      <c r="L491" s="484"/>
      <c r="M491" s="485">
        <v>0</v>
      </c>
      <c r="N491" s="485">
        <v>0.5</v>
      </c>
      <c r="O491" s="485">
        <v>0.5</v>
      </c>
      <c r="P491" s="486">
        <v>0</v>
      </c>
      <c r="Q491" s="486">
        <v>25005.750000000004</v>
      </c>
      <c r="R491" s="486">
        <v>25005.750000000004</v>
      </c>
      <c r="S491" s="487">
        <v>50011.500000000007</v>
      </c>
      <c r="T491" s="487">
        <v>0</v>
      </c>
      <c r="U491" s="487">
        <v>979.29368040658767</v>
      </c>
      <c r="V491" s="487">
        <v>979.29368040658767</v>
      </c>
      <c r="W491" s="481">
        <v>1958.5873608131753</v>
      </c>
      <c r="X491" s="772" t="s">
        <v>848</v>
      </c>
      <c r="Y491" s="4"/>
      <c r="Z491" s="4"/>
      <c r="AA491" s="4"/>
      <c r="AB491" s="4"/>
      <c r="AC491" s="4"/>
      <c r="AD491" s="4"/>
    </row>
    <row r="492" spans="1:30" ht="14.25" customHeight="1">
      <c r="A492" s="768" t="str">
        <f>Напрями!$A$70</f>
        <v>212M</v>
      </c>
      <c r="B492" s="4"/>
      <c r="C492" s="768" t="s">
        <v>1947</v>
      </c>
      <c r="D492" s="530" t="s">
        <v>2322</v>
      </c>
      <c r="E492" s="527"/>
      <c r="F492" s="544"/>
      <c r="G492" s="527"/>
      <c r="H492" s="527"/>
      <c r="I492" s="483"/>
      <c r="J492" s="483"/>
      <c r="K492" s="96"/>
      <c r="L492" s="484"/>
      <c r="M492" s="485">
        <v>0</v>
      </c>
      <c r="N492" s="485">
        <v>0.5</v>
      </c>
      <c r="O492" s="485">
        <v>0.5</v>
      </c>
      <c r="P492" s="486">
        <v>0</v>
      </c>
      <c r="Q492" s="486">
        <v>0</v>
      </c>
      <c r="R492" s="486">
        <v>0</v>
      </c>
      <c r="S492" s="487">
        <v>0</v>
      </c>
      <c r="T492" s="487">
        <v>0</v>
      </c>
      <c r="U492" s="487">
        <v>0</v>
      </c>
      <c r="V492" s="487">
        <v>0</v>
      </c>
      <c r="W492" s="481">
        <v>0</v>
      </c>
      <c r="X492" s="772" t="s">
        <v>848</v>
      </c>
      <c r="Y492" s="4"/>
      <c r="Z492" s="4"/>
      <c r="AA492" s="4"/>
      <c r="AB492" s="4"/>
      <c r="AC492" s="4"/>
      <c r="AD492" s="4"/>
    </row>
    <row r="493" spans="1:30" ht="14.25" customHeight="1">
      <c r="A493" s="768" t="str">
        <f>Напрями!$A$70</f>
        <v>212M</v>
      </c>
      <c r="B493" s="4"/>
      <c r="C493" s="768" t="s">
        <v>1947</v>
      </c>
      <c r="D493" s="530" t="s">
        <v>2323</v>
      </c>
      <c r="E493" s="527" t="s">
        <v>2321</v>
      </c>
      <c r="F493" s="544">
        <v>3334.1000000000004</v>
      </c>
      <c r="G493" s="527">
        <v>1</v>
      </c>
      <c r="H493" s="527">
        <v>5</v>
      </c>
      <c r="I493" s="483">
        <v>16670.5</v>
      </c>
      <c r="J493" s="483">
        <v>652.8624536043917</v>
      </c>
      <c r="K493" s="96"/>
      <c r="L493" s="484"/>
      <c r="M493" s="485">
        <v>0</v>
      </c>
      <c r="N493" s="485">
        <v>0.5</v>
      </c>
      <c r="O493" s="485">
        <v>0.5</v>
      </c>
      <c r="P493" s="486">
        <v>0</v>
      </c>
      <c r="Q493" s="486">
        <v>8335.25</v>
      </c>
      <c r="R493" s="486">
        <v>8335.25</v>
      </c>
      <c r="S493" s="487">
        <v>16670.5</v>
      </c>
      <c r="T493" s="487">
        <v>0</v>
      </c>
      <c r="U493" s="487">
        <v>326.43122680219585</v>
      </c>
      <c r="V493" s="487">
        <v>326.43122680219585</v>
      </c>
      <c r="W493" s="481">
        <v>652.8624536043917</v>
      </c>
      <c r="X493" s="772" t="s">
        <v>848</v>
      </c>
      <c r="Y493" s="4"/>
      <c r="Z493" s="4"/>
      <c r="AA493" s="4"/>
      <c r="AB493" s="4"/>
      <c r="AC493" s="4"/>
      <c r="AD493" s="4"/>
    </row>
    <row r="494" spans="1:30" ht="14.25" customHeight="1">
      <c r="A494" s="768" t="str">
        <f>Напрями!$A$70</f>
        <v>212M</v>
      </c>
      <c r="B494" s="4"/>
      <c r="C494" s="768" t="s">
        <v>1947</v>
      </c>
      <c r="D494" s="530" t="s">
        <v>2324</v>
      </c>
      <c r="E494" s="527" t="s">
        <v>2321</v>
      </c>
      <c r="F494" s="544">
        <v>3334.1000000000004</v>
      </c>
      <c r="G494" s="527">
        <v>1</v>
      </c>
      <c r="H494" s="527">
        <v>8</v>
      </c>
      <c r="I494" s="483">
        <v>26672.800000000003</v>
      </c>
      <c r="J494" s="483">
        <v>1044.5799257670269</v>
      </c>
      <c r="K494" s="96"/>
      <c r="L494" s="484"/>
      <c r="M494" s="485">
        <v>0</v>
      </c>
      <c r="N494" s="485">
        <v>0.5</v>
      </c>
      <c r="O494" s="485">
        <v>0.5</v>
      </c>
      <c r="P494" s="486">
        <v>0</v>
      </c>
      <c r="Q494" s="486">
        <v>13336.400000000001</v>
      </c>
      <c r="R494" s="486">
        <v>13336.400000000001</v>
      </c>
      <c r="S494" s="487">
        <v>26672.800000000003</v>
      </c>
      <c r="T494" s="487">
        <v>0</v>
      </c>
      <c r="U494" s="487">
        <v>522.28996288351345</v>
      </c>
      <c r="V494" s="487">
        <v>522.28996288351345</v>
      </c>
      <c r="W494" s="481">
        <v>1044.5799257670269</v>
      </c>
      <c r="X494" s="772" t="s">
        <v>848</v>
      </c>
      <c r="Y494" s="4"/>
      <c r="Z494" s="4"/>
      <c r="AA494" s="4"/>
      <c r="AB494" s="4"/>
      <c r="AC494" s="4"/>
      <c r="AD494" s="4"/>
    </row>
    <row r="495" spans="1:30" ht="14.25" customHeight="1">
      <c r="A495" s="768" t="str">
        <f>Напрями!$A$70</f>
        <v>212M</v>
      </c>
      <c r="B495" s="4"/>
      <c r="C495" s="768" t="s">
        <v>1947</v>
      </c>
      <c r="D495" s="530" t="s">
        <v>2325</v>
      </c>
      <c r="E495" s="527" t="s">
        <v>2321</v>
      </c>
      <c r="F495" s="544">
        <v>3334.1000000000004</v>
      </c>
      <c r="G495" s="527">
        <v>1</v>
      </c>
      <c r="H495" s="527">
        <v>25</v>
      </c>
      <c r="I495" s="483">
        <v>83352.500000000015</v>
      </c>
      <c r="J495" s="483">
        <v>3264.312268021959</v>
      </c>
      <c r="K495" s="96"/>
      <c r="L495" s="484"/>
      <c r="M495" s="485">
        <v>0</v>
      </c>
      <c r="N495" s="485">
        <v>0.5</v>
      </c>
      <c r="O495" s="485">
        <v>0.5</v>
      </c>
      <c r="P495" s="486">
        <v>0</v>
      </c>
      <c r="Q495" s="486">
        <v>41676.250000000007</v>
      </c>
      <c r="R495" s="486">
        <v>41676.250000000007</v>
      </c>
      <c r="S495" s="487">
        <v>83352.500000000015</v>
      </c>
      <c r="T495" s="487">
        <v>0</v>
      </c>
      <c r="U495" s="487">
        <v>1632.1561340109795</v>
      </c>
      <c r="V495" s="487">
        <v>1632.1561340109795</v>
      </c>
      <c r="W495" s="481">
        <v>3264.312268021959</v>
      </c>
      <c r="X495" s="772" t="s">
        <v>848</v>
      </c>
      <c r="Y495" s="4"/>
      <c r="Z495" s="4"/>
      <c r="AA495" s="4"/>
      <c r="AB495" s="4"/>
      <c r="AC495" s="4"/>
      <c r="AD495" s="4"/>
    </row>
    <row r="496" spans="1:30" ht="14.25" customHeight="1">
      <c r="A496" s="768" t="str">
        <f>Напрями!$A$70</f>
        <v>212M</v>
      </c>
      <c r="B496" s="4"/>
      <c r="C496" s="768" t="s">
        <v>1947</v>
      </c>
      <c r="D496" s="530" t="s">
        <v>2326</v>
      </c>
      <c r="E496" s="527" t="s">
        <v>2321</v>
      </c>
      <c r="F496" s="544">
        <v>3334.1000000000004</v>
      </c>
      <c r="G496" s="527">
        <v>1</v>
      </c>
      <c r="H496" s="527">
        <v>60</v>
      </c>
      <c r="I496" s="483">
        <v>200046.00000000003</v>
      </c>
      <c r="J496" s="483">
        <v>7834.3494432527013</v>
      </c>
      <c r="K496" s="96"/>
      <c r="L496" s="484"/>
      <c r="M496" s="485">
        <v>0</v>
      </c>
      <c r="N496" s="485">
        <v>0.5</v>
      </c>
      <c r="O496" s="485">
        <v>0.5</v>
      </c>
      <c r="P496" s="486">
        <v>0</v>
      </c>
      <c r="Q496" s="486">
        <v>100023.00000000001</v>
      </c>
      <c r="R496" s="486">
        <v>100023.00000000001</v>
      </c>
      <c r="S496" s="487">
        <v>200046.00000000003</v>
      </c>
      <c r="T496" s="487">
        <v>0</v>
      </c>
      <c r="U496" s="487">
        <v>3917.1747216263507</v>
      </c>
      <c r="V496" s="487">
        <v>3917.1747216263507</v>
      </c>
      <c r="W496" s="481">
        <v>7834.3494432527013</v>
      </c>
      <c r="X496" s="772" t="s">
        <v>848</v>
      </c>
      <c r="Y496" s="4"/>
      <c r="Z496" s="4"/>
      <c r="AA496" s="4"/>
      <c r="AB496" s="4"/>
      <c r="AC496" s="4"/>
      <c r="AD496" s="4"/>
    </row>
    <row r="497" spans="1:30" ht="14.25" customHeight="1">
      <c r="A497" s="768" t="str">
        <f>Напрями!$A$70</f>
        <v>212M</v>
      </c>
      <c r="B497" s="4"/>
      <c r="C497" s="768" t="s">
        <v>1947</v>
      </c>
      <c r="D497" s="530" t="s">
        <v>2327</v>
      </c>
      <c r="E497" s="527" t="s">
        <v>2321</v>
      </c>
      <c r="F497" s="544">
        <v>3334.1000000000004</v>
      </c>
      <c r="G497" s="527">
        <v>15</v>
      </c>
      <c r="H497" s="527">
        <v>90</v>
      </c>
      <c r="I497" s="483">
        <v>4501035.0000000009</v>
      </c>
      <c r="J497" s="483">
        <v>176272.86247318579</v>
      </c>
      <c r="K497" s="96"/>
      <c r="L497" s="484"/>
      <c r="M497" s="485">
        <v>0</v>
      </c>
      <c r="N497" s="485">
        <v>0.5</v>
      </c>
      <c r="O497" s="485">
        <v>0.5</v>
      </c>
      <c r="P497" s="486">
        <v>0</v>
      </c>
      <c r="Q497" s="486">
        <v>2250517.5000000005</v>
      </c>
      <c r="R497" s="486">
        <v>2250517.5000000005</v>
      </c>
      <c r="S497" s="487">
        <v>4501035.0000000009</v>
      </c>
      <c r="T497" s="487">
        <v>0</v>
      </c>
      <c r="U497" s="487">
        <v>88136.431236592893</v>
      </c>
      <c r="V497" s="487">
        <v>88136.431236592893</v>
      </c>
      <c r="W497" s="481">
        <v>176272.86247318579</v>
      </c>
      <c r="X497" s="772" t="s">
        <v>848</v>
      </c>
      <c r="Y497" s="4"/>
      <c r="Z497" s="4"/>
      <c r="AA497" s="4"/>
      <c r="AB497" s="4"/>
      <c r="AC497" s="4"/>
      <c r="AD497" s="4"/>
    </row>
    <row r="498" spans="1:30" ht="14.25" customHeight="1">
      <c r="A498" s="768" t="str">
        <f>Напрями!$A$70</f>
        <v>212M</v>
      </c>
      <c r="B498" s="4"/>
      <c r="C498" s="768" t="s">
        <v>1947</v>
      </c>
      <c r="D498" s="530" t="s">
        <v>2328</v>
      </c>
      <c r="E498" s="527" t="s">
        <v>2317</v>
      </c>
      <c r="F498" s="544">
        <v>21252</v>
      </c>
      <c r="G498" s="527">
        <v>1</v>
      </c>
      <c r="H498" s="527">
        <v>48</v>
      </c>
      <c r="I498" s="483">
        <v>1020096</v>
      </c>
      <c r="J498" s="483">
        <v>39949.75420485442</v>
      </c>
      <c r="K498" s="96"/>
      <c r="L498" s="484"/>
      <c r="M498" s="485">
        <v>0</v>
      </c>
      <c r="N498" s="485">
        <v>0.5</v>
      </c>
      <c r="O498" s="485">
        <v>0.5</v>
      </c>
      <c r="P498" s="486">
        <v>0</v>
      </c>
      <c r="Q498" s="486">
        <v>510048</v>
      </c>
      <c r="R498" s="486">
        <v>510048</v>
      </c>
      <c r="S498" s="487">
        <v>1020096</v>
      </c>
      <c r="T498" s="487">
        <v>0</v>
      </c>
      <c r="U498" s="487">
        <v>19974.87710242721</v>
      </c>
      <c r="V498" s="487">
        <v>19974.87710242721</v>
      </c>
      <c r="W498" s="481">
        <v>39949.75420485442</v>
      </c>
      <c r="X498" s="772" t="s">
        <v>950</v>
      </c>
      <c r="Y498" s="4"/>
      <c r="Z498" s="4"/>
      <c r="AA498" s="4"/>
      <c r="AB498" s="4"/>
      <c r="AC498" s="4"/>
      <c r="AD498" s="4"/>
    </row>
    <row r="499" spans="1:30" ht="14.25" customHeight="1">
      <c r="A499" s="768" t="str">
        <f>Напрями!$A$70</f>
        <v>212M</v>
      </c>
      <c r="B499" s="4"/>
      <c r="C499" s="768" t="s">
        <v>1947</v>
      </c>
      <c r="D499" s="530" t="s">
        <v>2141</v>
      </c>
      <c r="E499" s="527"/>
      <c r="F499" s="544"/>
      <c r="G499" s="527"/>
      <c r="H499" s="527"/>
      <c r="I499" s="590"/>
      <c r="J499" s="590"/>
      <c r="K499" s="96"/>
      <c r="L499" s="484"/>
      <c r="M499" s="485">
        <v>0</v>
      </c>
      <c r="N499" s="485">
        <v>0.5</v>
      </c>
      <c r="O499" s="485">
        <v>0.5</v>
      </c>
      <c r="P499" s="486">
        <v>0</v>
      </c>
      <c r="Q499" s="486">
        <v>0</v>
      </c>
      <c r="R499" s="486">
        <v>0</v>
      </c>
      <c r="S499" s="487">
        <v>0</v>
      </c>
      <c r="T499" s="487">
        <v>0</v>
      </c>
      <c r="U499" s="487">
        <v>0</v>
      </c>
      <c r="V499" s="487">
        <v>0</v>
      </c>
      <c r="W499" s="481">
        <v>0</v>
      </c>
      <c r="X499" s="772" t="s">
        <v>875</v>
      </c>
      <c r="Y499" s="4"/>
      <c r="Z499" s="4"/>
      <c r="AA499" s="4"/>
      <c r="AB499" s="4"/>
      <c r="AC499" s="4"/>
      <c r="AD499" s="4"/>
    </row>
    <row r="500" spans="1:30" ht="14.25" customHeight="1">
      <c r="A500" s="768" t="str">
        <f>Напрями!$A$70</f>
        <v>212M</v>
      </c>
      <c r="B500" s="4"/>
      <c r="C500" s="768" t="s">
        <v>1947</v>
      </c>
      <c r="D500" s="530" t="s">
        <v>2142</v>
      </c>
      <c r="E500" s="527"/>
      <c r="F500" s="544"/>
      <c r="G500" s="527"/>
      <c r="H500" s="527"/>
      <c r="I500" s="590"/>
      <c r="J500" s="590"/>
      <c r="K500" s="96"/>
      <c r="L500" s="484"/>
      <c r="M500" s="485">
        <v>0</v>
      </c>
      <c r="N500" s="485">
        <v>0.5</v>
      </c>
      <c r="O500" s="485">
        <v>0.5</v>
      </c>
      <c r="P500" s="486">
        <v>0</v>
      </c>
      <c r="Q500" s="486">
        <v>0</v>
      </c>
      <c r="R500" s="486">
        <v>0</v>
      </c>
      <c r="S500" s="487">
        <v>0</v>
      </c>
      <c r="T500" s="487">
        <v>0</v>
      </c>
      <c r="U500" s="487">
        <v>0</v>
      </c>
      <c r="V500" s="487">
        <v>0</v>
      </c>
      <c r="W500" s="481">
        <v>0</v>
      </c>
      <c r="X500" s="772" t="s">
        <v>881</v>
      </c>
      <c r="Y500" s="4"/>
      <c r="Z500" s="4"/>
      <c r="AA500" s="4"/>
      <c r="AB500" s="4"/>
      <c r="AC500" s="4"/>
      <c r="AD500" s="4"/>
    </row>
    <row r="501" spans="1:30" ht="14.25" customHeight="1">
      <c r="A501" s="768" t="str">
        <f>Напрями!$A$70</f>
        <v>212M</v>
      </c>
      <c r="B501" s="4"/>
      <c r="C501" s="768" t="s">
        <v>1947</v>
      </c>
      <c r="D501" s="585" t="s">
        <v>2329</v>
      </c>
      <c r="E501" s="566" t="s">
        <v>2330</v>
      </c>
      <c r="F501" s="566">
        <v>18000</v>
      </c>
      <c r="G501" s="566"/>
      <c r="H501" s="566">
        <v>10</v>
      </c>
      <c r="I501" s="567">
        <v>180000</v>
      </c>
      <c r="J501" s="488"/>
      <c r="K501" s="96"/>
      <c r="L501" s="485"/>
      <c r="M501" s="485"/>
      <c r="N501" s="485"/>
      <c r="O501" s="485"/>
      <c r="P501" s="486"/>
      <c r="Q501" s="486"/>
      <c r="R501" s="486"/>
      <c r="S501" s="487"/>
      <c r="T501" s="487"/>
      <c r="U501" s="487"/>
      <c r="V501" s="487"/>
      <c r="W501" s="491"/>
      <c r="X501" s="772"/>
      <c r="Y501" s="4"/>
      <c r="Z501" s="4"/>
      <c r="AA501" s="4"/>
      <c r="AB501" s="4"/>
      <c r="AC501" s="4"/>
      <c r="AD501" s="4"/>
    </row>
    <row r="502" spans="1:30" ht="14.25" customHeight="1">
      <c r="A502" s="768" t="str">
        <f>Напрями!$A$70</f>
        <v>212M</v>
      </c>
      <c r="B502" s="4"/>
      <c r="C502" s="768" t="s">
        <v>1947</v>
      </c>
      <c r="D502" s="585" t="s">
        <v>2331</v>
      </c>
      <c r="E502" s="566" t="s">
        <v>2332</v>
      </c>
      <c r="F502" s="566">
        <v>60000</v>
      </c>
      <c r="G502" s="566"/>
      <c r="H502" s="566">
        <v>10</v>
      </c>
      <c r="I502" s="567">
        <v>600000</v>
      </c>
      <c r="J502" s="488"/>
      <c r="K502" s="96"/>
      <c r="L502" s="485"/>
      <c r="M502" s="485"/>
      <c r="N502" s="485"/>
      <c r="O502" s="485"/>
      <c r="P502" s="486"/>
      <c r="Q502" s="486"/>
      <c r="R502" s="486"/>
      <c r="S502" s="487"/>
      <c r="T502" s="487"/>
      <c r="U502" s="487"/>
      <c r="V502" s="487"/>
      <c r="W502" s="491"/>
      <c r="X502" s="772"/>
      <c r="Y502" s="4"/>
      <c r="Z502" s="4"/>
      <c r="AA502" s="4"/>
      <c r="AB502" s="4"/>
      <c r="AC502" s="4"/>
      <c r="AD502" s="4"/>
    </row>
    <row r="503" spans="1:30" ht="14.25" customHeight="1">
      <c r="A503" s="768" t="str">
        <f>Напрями!$A$70</f>
        <v>212M</v>
      </c>
      <c r="B503" s="4"/>
      <c r="C503" s="768" t="s">
        <v>1947</v>
      </c>
      <c r="D503" s="585" t="s">
        <v>2333</v>
      </c>
      <c r="E503" s="566" t="s">
        <v>2334</v>
      </c>
      <c r="F503" s="566">
        <v>15000</v>
      </c>
      <c r="G503" s="566"/>
      <c r="H503" s="566">
        <v>10</v>
      </c>
      <c r="I503" s="567">
        <v>150000</v>
      </c>
      <c r="J503" s="488"/>
      <c r="K503" s="96"/>
      <c r="L503" s="485"/>
      <c r="M503" s="485"/>
      <c r="N503" s="485"/>
      <c r="O503" s="485"/>
      <c r="P503" s="486"/>
      <c r="Q503" s="486"/>
      <c r="R503" s="486"/>
      <c r="S503" s="487"/>
      <c r="T503" s="487"/>
      <c r="U503" s="487"/>
      <c r="V503" s="487"/>
      <c r="W503" s="491"/>
      <c r="X503" s="772"/>
      <c r="Y503" s="4"/>
      <c r="Z503" s="4"/>
      <c r="AA503" s="4"/>
      <c r="AB503" s="4"/>
      <c r="AC503" s="4"/>
      <c r="AD503" s="4"/>
    </row>
    <row r="504" spans="1:30" ht="14.25" customHeight="1">
      <c r="A504" s="768" t="str">
        <f>Напрями!$A$70</f>
        <v>212M</v>
      </c>
      <c r="B504" s="4"/>
      <c r="C504" s="768" t="s">
        <v>1947</v>
      </c>
      <c r="D504" s="585" t="s">
        <v>2335</v>
      </c>
      <c r="E504" s="566" t="s">
        <v>2332</v>
      </c>
      <c r="F504" s="566">
        <v>34200</v>
      </c>
      <c r="G504" s="566"/>
      <c r="H504" s="566">
        <v>10</v>
      </c>
      <c r="I504" s="567">
        <v>342000</v>
      </c>
      <c r="J504" s="488"/>
      <c r="K504" s="96"/>
      <c r="L504" s="485"/>
      <c r="M504" s="485"/>
      <c r="N504" s="485"/>
      <c r="O504" s="485"/>
      <c r="P504" s="486"/>
      <c r="Q504" s="486"/>
      <c r="R504" s="486"/>
      <c r="S504" s="487"/>
      <c r="T504" s="487"/>
      <c r="U504" s="487"/>
      <c r="V504" s="487"/>
      <c r="W504" s="491"/>
      <c r="X504" s="772"/>
      <c r="Y504" s="4"/>
      <c r="Z504" s="4"/>
      <c r="AA504" s="4"/>
      <c r="AB504" s="4"/>
      <c r="AC504" s="4"/>
      <c r="AD504" s="4"/>
    </row>
    <row r="505" spans="1:30" ht="14.25" customHeight="1">
      <c r="A505" s="768" t="str">
        <f>Напрями!$A$70</f>
        <v>212M</v>
      </c>
      <c r="B505" s="4"/>
      <c r="C505" s="768" t="s">
        <v>1947</v>
      </c>
      <c r="D505" s="546" t="s">
        <v>2336</v>
      </c>
      <c r="E505" s="547"/>
      <c r="F505" s="547"/>
      <c r="G505" s="547"/>
      <c r="H505" s="547"/>
      <c r="I505" s="567">
        <v>150000</v>
      </c>
      <c r="J505" s="488"/>
      <c r="K505" s="96"/>
      <c r="L505" s="485"/>
      <c r="M505" s="485"/>
      <c r="N505" s="485"/>
      <c r="O505" s="485"/>
      <c r="P505" s="486"/>
      <c r="Q505" s="486"/>
      <c r="R505" s="486"/>
      <c r="S505" s="487"/>
      <c r="T505" s="487"/>
      <c r="U505" s="487"/>
      <c r="V505" s="487"/>
      <c r="W505" s="491"/>
      <c r="X505" s="772"/>
      <c r="Y505" s="4"/>
      <c r="Z505" s="4"/>
      <c r="AA505" s="4"/>
      <c r="AB505" s="4"/>
      <c r="AC505" s="4"/>
      <c r="AD505" s="4"/>
    </row>
    <row r="506" spans="1:30" ht="14.25" customHeight="1">
      <c r="A506" s="768" t="str">
        <f>Напрями!$A$70</f>
        <v>212M</v>
      </c>
      <c r="B506" s="4"/>
      <c r="C506" s="768" t="s">
        <v>1947</v>
      </c>
      <c r="D506" s="546" t="s">
        <v>1047</v>
      </c>
      <c r="E506" s="547"/>
      <c r="F506" s="547"/>
      <c r="G506" s="547"/>
      <c r="H506" s="547"/>
      <c r="I506" s="488">
        <v>6902754.3500000015</v>
      </c>
      <c r="J506" s="488">
        <v>270330.77241650753</v>
      </c>
      <c r="K506" s="96"/>
      <c r="L506" s="485"/>
      <c r="M506" s="485">
        <v>0</v>
      </c>
      <c r="N506" s="485">
        <v>0.5</v>
      </c>
      <c r="O506" s="485">
        <v>0.5</v>
      </c>
      <c r="P506" s="486">
        <v>0</v>
      </c>
      <c r="Q506" s="486">
        <v>3451377.1750000007</v>
      </c>
      <c r="R506" s="486">
        <v>3451377.1750000007</v>
      </c>
      <c r="S506" s="487">
        <v>6902754.3500000015</v>
      </c>
      <c r="T506" s="487">
        <v>0</v>
      </c>
      <c r="U506" s="487">
        <v>135165.38620825377</v>
      </c>
      <c r="V506" s="487">
        <v>135165.38620825377</v>
      </c>
      <c r="W506" s="491">
        <v>270330.77241650753</v>
      </c>
      <c r="X506" s="772"/>
      <c r="Y506" s="4"/>
      <c r="Z506" s="4"/>
      <c r="AA506" s="4"/>
      <c r="AB506" s="4"/>
      <c r="AC506" s="4"/>
      <c r="AD506" s="4"/>
    </row>
    <row r="507" spans="1:30" ht="14.25" customHeight="1">
      <c r="A507" s="768"/>
      <c r="B507" s="4"/>
      <c r="C507" s="768"/>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4.25" customHeight="1">
      <c r="A508" s="768"/>
      <c r="B508" s="4"/>
      <c r="C508" s="768"/>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4.25" customHeight="1">
      <c r="A509" s="768" t="str">
        <f>Напрями!$A$71</f>
        <v>213M</v>
      </c>
      <c r="B509" s="4"/>
      <c r="C509" s="768" t="s">
        <v>1963</v>
      </c>
      <c r="D509" s="524" t="s">
        <v>2075</v>
      </c>
      <c r="E509" s="525" t="s">
        <v>394</v>
      </c>
      <c r="F509" s="525" t="s">
        <v>2076</v>
      </c>
      <c r="G509" s="525" t="s">
        <v>2077</v>
      </c>
      <c r="H509" s="478" t="s">
        <v>2078</v>
      </c>
      <c r="I509" s="478" t="s">
        <v>2136</v>
      </c>
      <c r="J509" s="479" t="s">
        <v>2137</v>
      </c>
      <c r="K509" s="96"/>
      <c r="L509" s="480"/>
      <c r="M509" s="480"/>
      <c r="N509" s="96"/>
      <c r="O509" s="96"/>
      <c r="P509" s="96"/>
      <c r="Q509" s="96"/>
      <c r="R509" s="96"/>
      <c r="S509" s="96"/>
      <c r="T509" s="96"/>
      <c r="U509" s="96"/>
      <c r="V509" s="96"/>
      <c r="W509" s="481"/>
      <c r="X509" s="772"/>
      <c r="Y509" s="4"/>
      <c r="Z509" s="4"/>
      <c r="AA509" s="4"/>
      <c r="AB509" s="4"/>
      <c r="AC509" s="4"/>
      <c r="AD509" s="4"/>
    </row>
    <row r="510" spans="1:30" ht="14.25" customHeight="1">
      <c r="A510" s="768" t="str">
        <f>Напрями!$A$71</f>
        <v>213M</v>
      </c>
      <c r="B510" s="4"/>
      <c r="C510" s="768" t="s">
        <v>1963</v>
      </c>
      <c r="D510" s="530" t="s">
        <v>2337</v>
      </c>
      <c r="E510" s="527" t="s">
        <v>2321</v>
      </c>
      <c r="F510" s="544">
        <v>3334.1000000000004</v>
      </c>
      <c r="G510" s="527">
        <v>7</v>
      </c>
      <c r="H510" s="527">
        <v>2</v>
      </c>
      <c r="I510" s="483">
        <v>46677.400000000009</v>
      </c>
      <c r="J510" s="483">
        <v>1828.0148700922971</v>
      </c>
      <c r="K510" s="96"/>
      <c r="L510" s="484"/>
      <c r="M510" s="485">
        <v>0</v>
      </c>
      <c r="N510" s="485">
        <v>1</v>
      </c>
      <c r="O510" s="485">
        <v>1</v>
      </c>
      <c r="P510" s="802">
        <v>0</v>
      </c>
      <c r="Q510" s="802">
        <v>70015.900000000009</v>
      </c>
      <c r="R510" s="802">
        <v>70015.900000000009</v>
      </c>
      <c r="S510" s="487">
        <v>140031.80000000002</v>
      </c>
      <c r="T510" s="487">
        <v>0</v>
      </c>
      <c r="U510" s="811">
        <v>2742.0144725904884</v>
      </c>
      <c r="V510" s="487">
        <v>2742.0144725904884</v>
      </c>
      <c r="W510" s="481">
        <v>5484.0289451809767</v>
      </c>
      <c r="X510" s="772" t="s">
        <v>848</v>
      </c>
      <c r="Y510" s="4"/>
      <c r="Z510" s="4"/>
      <c r="AA510" s="4"/>
      <c r="AB510" s="4"/>
      <c r="AC510" s="4"/>
      <c r="AD510" s="4"/>
    </row>
    <row r="511" spans="1:30" ht="14.25" customHeight="1">
      <c r="A511" s="768" t="str">
        <f>Напрями!$A$71</f>
        <v>213M</v>
      </c>
      <c r="B511" s="4"/>
      <c r="C511" s="768" t="s">
        <v>1963</v>
      </c>
      <c r="D511" s="591" t="s">
        <v>2338</v>
      </c>
      <c r="E511" s="527" t="s">
        <v>2321</v>
      </c>
      <c r="F511" s="544">
        <v>3334.1000000000004</v>
      </c>
      <c r="G511" s="527">
        <v>1</v>
      </c>
      <c r="H511" s="527">
        <v>50</v>
      </c>
      <c r="I511" s="483">
        <v>166705.00000000003</v>
      </c>
      <c r="J511" s="483">
        <v>6528.6245360439179</v>
      </c>
      <c r="K511" s="96"/>
      <c r="L511" s="484"/>
      <c r="M511" s="485">
        <v>0</v>
      </c>
      <c r="N511" s="485">
        <v>1</v>
      </c>
      <c r="O511" s="485">
        <v>1</v>
      </c>
      <c r="P511" s="802">
        <v>0</v>
      </c>
      <c r="Q511" s="802">
        <v>250057.50000000003</v>
      </c>
      <c r="R511" s="802">
        <v>250057.50000000003</v>
      </c>
      <c r="S511" s="487">
        <v>500115.00000000006</v>
      </c>
      <c r="T511" s="487">
        <v>0</v>
      </c>
      <c r="U511" s="811">
        <v>9792.9368040658774</v>
      </c>
      <c r="V511" s="487">
        <v>9792.9368040658774</v>
      </c>
      <c r="W511" s="481">
        <v>19585.873608131755</v>
      </c>
      <c r="X511" s="772" t="s">
        <v>848</v>
      </c>
      <c r="Y511" s="4"/>
      <c r="Z511" s="4"/>
      <c r="AA511" s="4"/>
      <c r="AB511" s="4"/>
      <c r="AC511" s="4"/>
      <c r="AD511" s="4"/>
    </row>
    <row r="512" spans="1:30" ht="14.25" customHeight="1">
      <c r="A512" s="768" t="str">
        <f>Напрями!$A$71</f>
        <v>213M</v>
      </c>
      <c r="B512" s="4"/>
      <c r="C512" s="768" t="s">
        <v>1963</v>
      </c>
      <c r="D512" s="530" t="s">
        <v>2098</v>
      </c>
      <c r="E512" s="527" t="s">
        <v>2339</v>
      </c>
      <c r="F512" s="544">
        <v>244</v>
      </c>
      <c r="G512" s="527">
        <v>1</v>
      </c>
      <c r="H512" s="527">
        <v>150</v>
      </c>
      <c r="I512" s="483">
        <v>36600</v>
      </c>
      <c r="J512" s="483">
        <v>1433.3562761717246</v>
      </c>
      <c r="K512" s="96"/>
      <c r="L512" s="484"/>
      <c r="M512" s="485">
        <v>0</v>
      </c>
      <c r="N512" s="485">
        <v>1</v>
      </c>
      <c r="O512" s="485">
        <v>1</v>
      </c>
      <c r="P512" s="802">
        <v>0</v>
      </c>
      <c r="Q512" s="802">
        <v>54900</v>
      </c>
      <c r="R512" s="802">
        <v>54900</v>
      </c>
      <c r="S512" s="487">
        <v>109800</v>
      </c>
      <c r="T512" s="487">
        <v>0</v>
      </c>
      <c r="U512" s="487">
        <v>2150.0344142575868</v>
      </c>
      <c r="V512" s="487">
        <v>2150.0344142575868</v>
      </c>
      <c r="W512" s="481">
        <v>4300.0688285151737</v>
      </c>
      <c r="X512" s="772" t="s">
        <v>989</v>
      </c>
      <c r="Y512" s="4"/>
      <c r="Z512" s="4"/>
      <c r="AA512" s="4"/>
      <c r="AB512" s="4"/>
      <c r="AC512" s="4"/>
      <c r="AD512" s="4"/>
    </row>
    <row r="513" spans="1:30" ht="14.25" customHeight="1">
      <c r="A513" s="768" t="str">
        <f>Напрями!$A$71</f>
        <v>213M</v>
      </c>
      <c r="B513" s="4"/>
      <c r="C513" s="768" t="s">
        <v>1963</v>
      </c>
      <c r="D513" s="530" t="s">
        <v>2340</v>
      </c>
      <c r="E513" s="527" t="s">
        <v>2341</v>
      </c>
      <c r="F513" s="544">
        <v>76603.425000000003</v>
      </c>
      <c r="G513" s="527">
        <v>1</v>
      </c>
      <c r="H513" s="417">
        <v>3.3333333333333335</v>
      </c>
      <c r="I513" s="483">
        <v>255344.75000000003</v>
      </c>
      <c r="J513" s="483">
        <v>10000.000000000002</v>
      </c>
      <c r="K513" s="96"/>
      <c r="L513" s="484"/>
      <c r="M513" s="485">
        <v>0</v>
      </c>
      <c r="N513" s="485">
        <v>1</v>
      </c>
      <c r="O513" s="485">
        <v>1</v>
      </c>
      <c r="P513" s="802">
        <v>0</v>
      </c>
      <c r="Q513" s="802">
        <v>383017.25</v>
      </c>
      <c r="R513" s="802">
        <v>383017.25</v>
      </c>
      <c r="S513" s="487">
        <v>766034.5</v>
      </c>
      <c r="T513" s="487">
        <v>0</v>
      </c>
      <c r="U513" s="487">
        <v>15000.004895342472</v>
      </c>
      <c r="V513" s="487">
        <v>15000.004895342472</v>
      </c>
      <c r="W513" s="481">
        <v>30000.009790684944</v>
      </c>
      <c r="X513" s="772" t="s">
        <v>1903</v>
      </c>
      <c r="Y513" s="4"/>
      <c r="Z513" s="4"/>
      <c r="AA513" s="4"/>
      <c r="AB513" s="4"/>
      <c r="AC513" s="4"/>
      <c r="AD513" s="4"/>
    </row>
    <row r="514" spans="1:30" ht="14.25" customHeight="1">
      <c r="A514" s="768" t="str">
        <f>Напрями!$A$71</f>
        <v>213M</v>
      </c>
      <c r="B514" s="4"/>
      <c r="C514" s="768" t="s">
        <v>1963</v>
      </c>
      <c r="D514" s="530" t="s">
        <v>2342</v>
      </c>
      <c r="E514" s="527" t="s">
        <v>2321</v>
      </c>
      <c r="F514" s="544">
        <v>3334.1000000000004</v>
      </c>
      <c r="G514" s="527">
        <v>7</v>
      </c>
      <c r="H514" s="527">
        <v>2</v>
      </c>
      <c r="I514" s="483">
        <v>46677.400000000009</v>
      </c>
      <c r="J514" s="483">
        <v>1828.0148700922971</v>
      </c>
      <c r="K514" s="96"/>
      <c r="L514" s="484"/>
      <c r="M514" s="485">
        <v>0</v>
      </c>
      <c r="N514" s="485">
        <v>1</v>
      </c>
      <c r="O514" s="485">
        <v>1</v>
      </c>
      <c r="P514" s="802">
        <v>0</v>
      </c>
      <c r="Q514" s="802">
        <v>70015.900000000009</v>
      </c>
      <c r="R514" s="802">
        <v>70015.900000000009</v>
      </c>
      <c r="S514" s="487">
        <v>140031.80000000002</v>
      </c>
      <c r="T514" s="487">
        <v>0</v>
      </c>
      <c r="U514" s="811">
        <v>2742.0144725904884</v>
      </c>
      <c r="V514" s="487">
        <v>2742.0144725904884</v>
      </c>
      <c r="W514" s="481">
        <v>5484.0289451809767</v>
      </c>
      <c r="X514" s="772" t="s">
        <v>848</v>
      </c>
      <c r="Y514" s="4"/>
      <c r="Z514" s="4"/>
      <c r="AA514" s="4"/>
      <c r="AB514" s="4"/>
      <c r="AC514" s="4"/>
      <c r="AD514" s="4"/>
    </row>
    <row r="515" spans="1:30" ht="14.25" customHeight="1">
      <c r="A515" s="768" t="str">
        <f>Напрями!$A$71</f>
        <v>213M</v>
      </c>
      <c r="B515" s="4"/>
      <c r="C515" s="768" t="s">
        <v>1963</v>
      </c>
      <c r="D515" s="530" t="s">
        <v>2343</v>
      </c>
      <c r="E515" s="527" t="s">
        <v>2321</v>
      </c>
      <c r="F515" s="544">
        <v>3334.1000000000004</v>
      </c>
      <c r="G515" s="527">
        <v>1</v>
      </c>
      <c r="H515" s="527">
        <v>35</v>
      </c>
      <c r="I515" s="483">
        <v>116693.50000000001</v>
      </c>
      <c r="J515" s="483">
        <v>4570.0371752307428</v>
      </c>
      <c r="K515" s="96"/>
      <c r="L515" s="484"/>
      <c r="M515" s="485">
        <v>0</v>
      </c>
      <c r="N515" s="485">
        <v>1</v>
      </c>
      <c r="O515" s="485">
        <v>1</v>
      </c>
      <c r="P515" s="802">
        <v>0</v>
      </c>
      <c r="Q515" s="802">
        <v>175040.5</v>
      </c>
      <c r="R515" s="802">
        <v>175040.5</v>
      </c>
      <c r="S515" s="487">
        <v>350081</v>
      </c>
      <c r="T515" s="487">
        <v>0</v>
      </c>
      <c r="U515" s="811">
        <v>6855.0655535310598</v>
      </c>
      <c r="V515" s="487">
        <v>6855.0655535310598</v>
      </c>
      <c r="W515" s="481">
        <v>13710.13110706212</v>
      </c>
      <c r="X515" s="772" t="s">
        <v>848</v>
      </c>
      <c r="Y515" s="4"/>
      <c r="Z515" s="4"/>
      <c r="AA515" s="4"/>
      <c r="AB515" s="4"/>
      <c r="AC515" s="4"/>
      <c r="AD515" s="4"/>
    </row>
    <row r="516" spans="1:30" ht="14.25" customHeight="1">
      <c r="A516" s="768" t="str">
        <f>Напрями!$A$71</f>
        <v>213M</v>
      </c>
      <c r="B516" s="4"/>
      <c r="C516" s="768" t="s">
        <v>1963</v>
      </c>
      <c r="D516" s="530" t="s">
        <v>2141</v>
      </c>
      <c r="E516" s="527"/>
      <c r="F516" s="544"/>
      <c r="G516" s="527"/>
      <c r="H516" s="527"/>
      <c r="I516" s="483">
        <v>66869.805000000008</v>
      </c>
      <c r="J516" s="483">
        <v>2618.8047727630978</v>
      </c>
      <c r="K516" s="96"/>
      <c r="L516" s="484"/>
      <c r="M516" s="485">
        <v>0</v>
      </c>
      <c r="N516" s="485">
        <v>1</v>
      </c>
      <c r="O516" s="485">
        <v>1</v>
      </c>
      <c r="P516" s="802">
        <v>0</v>
      </c>
      <c r="Q516" s="802">
        <v>100304.80500000001</v>
      </c>
      <c r="R516" s="802">
        <v>100304.80500000001</v>
      </c>
      <c r="S516" s="487">
        <v>200609.61000000002</v>
      </c>
      <c r="T516" s="487">
        <v>0</v>
      </c>
      <c r="U516" s="487">
        <v>3928.210977511776</v>
      </c>
      <c r="V516" s="487">
        <v>3928.210977511776</v>
      </c>
      <c r="W516" s="481">
        <v>7856.4219550235521</v>
      </c>
      <c r="X516" s="772" t="s">
        <v>875</v>
      </c>
      <c r="Y516" s="4"/>
      <c r="Z516" s="4"/>
      <c r="AA516" s="4"/>
      <c r="AB516" s="4"/>
      <c r="AC516" s="4"/>
      <c r="AD516" s="4"/>
    </row>
    <row r="517" spans="1:30" ht="14.25" customHeight="1">
      <c r="A517" s="768" t="str">
        <f>Напрями!$A$71</f>
        <v>213M</v>
      </c>
      <c r="B517" s="4"/>
      <c r="C517" s="768" t="s">
        <v>1963</v>
      </c>
      <c r="D517" s="530" t="s">
        <v>2142</v>
      </c>
      <c r="E517" s="527"/>
      <c r="F517" s="544"/>
      <c r="G517" s="527"/>
      <c r="H517" s="527"/>
      <c r="I517" s="483">
        <v>100304.7075</v>
      </c>
      <c r="J517" s="483">
        <v>3928.2071591446465</v>
      </c>
      <c r="K517" s="96"/>
      <c r="L517" s="484"/>
      <c r="M517" s="485">
        <v>0</v>
      </c>
      <c r="N517" s="485">
        <v>1</v>
      </c>
      <c r="O517" s="485">
        <v>1</v>
      </c>
      <c r="P517" s="802">
        <v>0</v>
      </c>
      <c r="Q517" s="802">
        <v>150457.20750000002</v>
      </c>
      <c r="R517" s="802">
        <v>150457.20750000002</v>
      </c>
      <c r="S517" s="487">
        <v>300914.41500000004</v>
      </c>
      <c r="T517" s="487">
        <v>0</v>
      </c>
      <c r="U517" s="487">
        <v>5892.3164662676645</v>
      </c>
      <c r="V517" s="487">
        <v>5892.3164662676645</v>
      </c>
      <c r="W517" s="481">
        <v>11784.632932535329</v>
      </c>
      <c r="X517" s="772" t="s">
        <v>881</v>
      </c>
      <c r="Y517" s="4"/>
      <c r="Z517" s="4"/>
      <c r="AA517" s="4"/>
      <c r="AB517" s="4"/>
      <c r="AC517" s="4"/>
      <c r="AD517" s="4"/>
    </row>
    <row r="518" spans="1:30" ht="14.25" customHeight="1">
      <c r="A518" s="768" t="str">
        <f>Напрями!$A$71</f>
        <v>213M</v>
      </c>
      <c r="B518" s="4"/>
      <c r="C518" s="768" t="s">
        <v>1963</v>
      </c>
      <c r="D518" s="546" t="s">
        <v>1047</v>
      </c>
      <c r="E518" s="547"/>
      <c r="F518" s="547"/>
      <c r="G518" s="547"/>
      <c r="H518" s="547"/>
      <c r="I518" s="488">
        <v>835872.56250000012</v>
      </c>
      <c r="J518" s="488">
        <v>32735.059659538729</v>
      </c>
      <c r="K518" s="592"/>
      <c r="L518" s="485"/>
      <c r="M518" s="485"/>
      <c r="N518" s="485"/>
      <c r="O518" s="485"/>
      <c r="P518" s="486"/>
      <c r="Q518" s="486"/>
      <c r="R518" s="486"/>
      <c r="S518" s="487"/>
      <c r="T518" s="487"/>
      <c r="U518" s="487"/>
      <c r="V518" s="487"/>
      <c r="W518" s="491"/>
      <c r="X518" s="815"/>
      <c r="Y518" s="4"/>
      <c r="Z518" s="4"/>
      <c r="AA518" s="4"/>
      <c r="AB518" s="4"/>
      <c r="AC518" s="4"/>
      <c r="AD518" s="4"/>
    </row>
    <row r="519" spans="1:30" ht="14.25" customHeight="1">
      <c r="A519" s="768"/>
      <c r="B519" s="4"/>
      <c r="C519" s="768"/>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4.25" customHeight="1">
      <c r="A520" s="768"/>
      <c r="B520" s="4"/>
      <c r="C520" s="768"/>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4.25" customHeight="1">
      <c r="A521" s="768" t="str">
        <f>Напрями!$A$76</f>
        <v>218M</v>
      </c>
      <c r="B521" s="4"/>
      <c r="C521" s="768" t="s">
        <v>2063</v>
      </c>
      <c r="D521" s="498" t="s">
        <v>966</v>
      </c>
      <c r="E521" s="499" t="s">
        <v>967</v>
      </c>
      <c r="F521" s="499" t="s">
        <v>968</v>
      </c>
      <c r="G521" s="499" t="s">
        <v>969</v>
      </c>
      <c r="H521" s="499" t="s">
        <v>970</v>
      </c>
      <c r="I521" s="499" t="s">
        <v>2107</v>
      </c>
      <c r="J521" s="499" t="s">
        <v>2108</v>
      </c>
      <c r="K521" s="500" t="s">
        <v>2109</v>
      </c>
      <c r="L521" s="4"/>
      <c r="M521" s="4"/>
      <c r="N521" s="4"/>
      <c r="O521" s="4"/>
      <c r="P521" s="499" t="s">
        <v>2110</v>
      </c>
      <c r="Q521" s="499" t="s">
        <v>2111</v>
      </c>
      <c r="R521" s="499" t="s">
        <v>2112</v>
      </c>
      <c r="S521" s="499" t="s">
        <v>1105</v>
      </c>
      <c r="T521" s="499" t="s">
        <v>2113</v>
      </c>
      <c r="U521" s="499" t="s">
        <v>2114</v>
      </c>
      <c r="V521" s="499" t="s">
        <v>2115</v>
      </c>
      <c r="W521" s="499" t="s">
        <v>2116</v>
      </c>
      <c r="X521" s="498" t="s">
        <v>934</v>
      </c>
      <c r="Y521" s="500" t="s">
        <v>2117</v>
      </c>
      <c r="Z521" s="500" t="s">
        <v>2118</v>
      </c>
      <c r="AA521" s="4"/>
      <c r="AB521" s="4"/>
      <c r="AC521" s="4"/>
      <c r="AD521" s="4"/>
    </row>
    <row r="522" spans="1:30" ht="14.25" customHeight="1">
      <c r="A522" s="768" t="str">
        <f>Напрями!$A$76</f>
        <v>218M</v>
      </c>
      <c r="B522" s="4"/>
      <c r="C522" s="768" t="s">
        <v>2063</v>
      </c>
      <c r="D522" s="508" t="s">
        <v>2344</v>
      </c>
      <c r="E522" s="783">
        <v>10213.790000000001</v>
      </c>
      <c r="F522" s="514" t="s">
        <v>2345</v>
      </c>
      <c r="G522" s="510">
        <v>24</v>
      </c>
      <c r="H522" s="511">
        <v>245130.96000000002</v>
      </c>
      <c r="I522" s="506">
        <v>9600</v>
      </c>
      <c r="J522" s="500"/>
      <c r="K522" s="500"/>
      <c r="L522" s="4"/>
      <c r="M522" s="4"/>
      <c r="N522" s="4"/>
      <c r="O522" s="4"/>
      <c r="P522" s="784"/>
      <c r="Q522" s="784">
        <v>306413.7</v>
      </c>
      <c r="R522" s="784">
        <v>306413.7</v>
      </c>
      <c r="S522" s="512">
        <v>612827.4</v>
      </c>
      <c r="T522" s="512">
        <v>0</v>
      </c>
      <c r="U522" s="512">
        <v>12000</v>
      </c>
      <c r="V522" s="512">
        <v>12000</v>
      </c>
      <c r="W522" s="512">
        <v>24000</v>
      </c>
      <c r="X522" s="349" t="s">
        <v>977</v>
      </c>
      <c r="Y522" s="500" t="s">
        <v>2063</v>
      </c>
      <c r="Z522" s="500"/>
      <c r="AA522" s="4"/>
      <c r="AB522" s="4"/>
      <c r="AC522" s="4"/>
      <c r="AD522" s="4"/>
    </row>
    <row r="523" spans="1:30" ht="14.25" customHeight="1">
      <c r="A523" s="768" t="str">
        <f>Напрями!$A$76</f>
        <v>218M</v>
      </c>
      <c r="B523" s="4"/>
      <c r="C523" s="768" t="s">
        <v>2063</v>
      </c>
      <c r="D523" s="508" t="s">
        <v>2346</v>
      </c>
      <c r="E523" s="783">
        <v>10213.790000000001</v>
      </c>
      <c r="F523" s="514" t="s">
        <v>2345</v>
      </c>
      <c r="G523" s="510">
        <v>12</v>
      </c>
      <c r="H523" s="511">
        <v>122565.48000000001</v>
      </c>
      <c r="I523" s="506">
        <v>4800</v>
      </c>
      <c r="J523" s="500"/>
      <c r="K523" s="500"/>
      <c r="L523" s="4"/>
      <c r="M523" s="4"/>
      <c r="N523" s="4"/>
      <c r="O523" s="4"/>
      <c r="P523" s="784"/>
      <c r="Q523" s="784">
        <v>153206.85</v>
      </c>
      <c r="R523" s="784">
        <v>153206.85</v>
      </c>
      <c r="S523" s="512">
        <v>306413.7</v>
      </c>
      <c r="T523" s="512">
        <v>0</v>
      </c>
      <c r="U523" s="512">
        <v>6000</v>
      </c>
      <c r="V523" s="512">
        <v>6000</v>
      </c>
      <c r="W523" s="512">
        <v>12000</v>
      </c>
      <c r="X523" s="349" t="s">
        <v>977</v>
      </c>
      <c r="Y523" s="500" t="s">
        <v>2063</v>
      </c>
      <c r="Z523" s="500"/>
      <c r="AA523" s="4"/>
      <c r="AB523" s="4"/>
      <c r="AC523" s="4"/>
      <c r="AD523" s="4"/>
    </row>
    <row r="524" spans="1:30" ht="14.25" customHeight="1">
      <c r="A524" s="768" t="str">
        <f>Напрями!$A$76</f>
        <v>218M</v>
      </c>
      <c r="B524" s="4"/>
      <c r="C524" s="768" t="s">
        <v>2063</v>
      </c>
      <c r="D524" s="508" t="s">
        <v>2347</v>
      </c>
      <c r="E524" s="783">
        <v>12767.237500000001</v>
      </c>
      <c r="F524" s="514" t="s">
        <v>2345</v>
      </c>
      <c r="G524" s="510">
        <v>12</v>
      </c>
      <c r="H524" s="511">
        <v>153206.85</v>
      </c>
      <c r="I524" s="506">
        <v>6000</v>
      </c>
      <c r="J524" s="500"/>
      <c r="K524" s="500"/>
      <c r="L524" s="4"/>
      <c r="M524" s="4"/>
      <c r="N524" s="4"/>
      <c r="O524" s="4"/>
      <c r="P524" s="784"/>
      <c r="Q524" s="784">
        <v>191508.5625</v>
      </c>
      <c r="R524" s="784">
        <v>191508.5625</v>
      </c>
      <c r="S524" s="512">
        <v>383017.125</v>
      </c>
      <c r="T524" s="512">
        <v>0</v>
      </c>
      <c r="U524" s="512">
        <v>7500</v>
      </c>
      <c r="V524" s="512">
        <v>7500</v>
      </c>
      <c r="W524" s="512">
        <v>15000</v>
      </c>
      <c r="X524" s="349" t="s">
        <v>977</v>
      </c>
      <c r="Y524" s="500" t="s">
        <v>2063</v>
      </c>
      <c r="Z524" s="500"/>
      <c r="AA524" s="4"/>
      <c r="AB524" s="4"/>
      <c r="AC524" s="4"/>
      <c r="AD524" s="4"/>
    </row>
    <row r="525" spans="1:30" ht="14.25" customHeight="1">
      <c r="A525" s="768" t="str">
        <f>Напрями!$A$76</f>
        <v>218M</v>
      </c>
      <c r="B525" s="4"/>
      <c r="C525" s="768" t="s">
        <v>2063</v>
      </c>
      <c r="D525" s="508" t="s">
        <v>2348</v>
      </c>
      <c r="E525" s="783">
        <v>10213.790000000001</v>
      </c>
      <c r="F525" s="514" t="s">
        <v>2126</v>
      </c>
      <c r="G525" s="510">
        <v>15</v>
      </c>
      <c r="H525" s="511">
        <v>153206.85</v>
      </c>
      <c r="I525" s="506">
        <v>6000</v>
      </c>
      <c r="J525" s="500"/>
      <c r="K525" s="500"/>
      <c r="L525" s="4"/>
      <c r="M525" s="4"/>
      <c r="N525" s="4"/>
      <c r="O525" s="4"/>
      <c r="P525" s="784"/>
      <c r="Q525" s="784">
        <v>114905.13750000001</v>
      </c>
      <c r="R525" s="784">
        <v>63836.1875</v>
      </c>
      <c r="S525" s="512">
        <v>178741.32500000001</v>
      </c>
      <c r="T525" s="512">
        <v>0</v>
      </c>
      <c r="U525" s="512">
        <v>4500</v>
      </c>
      <c r="V525" s="512">
        <v>2500</v>
      </c>
      <c r="W525" s="512">
        <v>7000</v>
      </c>
      <c r="X525" s="349" t="s">
        <v>848</v>
      </c>
      <c r="Y525" s="500" t="s">
        <v>2063</v>
      </c>
      <c r="Z525" s="500"/>
      <c r="AA525" s="4"/>
      <c r="AB525" s="4"/>
      <c r="AC525" s="4"/>
      <c r="AD525" s="4"/>
    </row>
    <row r="526" spans="1:30" ht="14.25" customHeight="1">
      <c r="A526" s="768" t="str">
        <f>Напрями!$A$76</f>
        <v>218M</v>
      </c>
      <c r="B526" s="4"/>
      <c r="C526" s="768" t="s">
        <v>2063</v>
      </c>
      <c r="D526" s="508" t="s">
        <v>2349</v>
      </c>
      <c r="E526" s="783">
        <v>970.31005000000005</v>
      </c>
      <c r="F526" s="509" t="s">
        <v>1182</v>
      </c>
      <c r="G526" s="510">
        <v>12</v>
      </c>
      <c r="H526" s="511">
        <v>11643.720600000001</v>
      </c>
      <c r="I526" s="506">
        <v>456</v>
      </c>
      <c r="J526" s="500"/>
      <c r="K526" s="500"/>
      <c r="L526" s="4"/>
      <c r="M526" s="4"/>
      <c r="N526" s="4"/>
      <c r="O526" s="4"/>
      <c r="P526" s="784"/>
      <c r="Q526" s="784">
        <v>14554.650750000001</v>
      </c>
      <c r="R526" s="784">
        <v>14554.650750000001</v>
      </c>
      <c r="S526" s="512">
        <v>29109.301500000001</v>
      </c>
      <c r="T526" s="512">
        <v>0</v>
      </c>
      <c r="U526" s="512">
        <v>570</v>
      </c>
      <c r="V526" s="512">
        <v>570</v>
      </c>
      <c r="W526" s="512">
        <v>1140</v>
      </c>
      <c r="X526" s="349" t="s">
        <v>882</v>
      </c>
      <c r="Y526" s="500" t="s">
        <v>2063</v>
      </c>
      <c r="Z526" s="500"/>
      <c r="AA526" s="4"/>
      <c r="AB526" s="4"/>
      <c r="AC526" s="4"/>
      <c r="AD526" s="4"/>
    </row>
    <row r="527" spans="1:30" ht="14.25" customHeight="1">
      <c r="A527" s="768" t="str">
        <f>Напрями!$A$76</f>
        <v>218M</v>
      </c>
      <c r="B527" s="4"/>
      <c r="C527" s="768" t="s">
        <v>2063</v>
      </c>
      <c r="D527" s="508" t="s">
        <v>2350</v>
      </c>
      <c r="E527" s="783">
        <v>1276.7237500000001</v>
      </c>
      <c r="F527" s="514" t="s">
        <v>1182</v>
      </c>
      <c r="G527" s="510">
        <v>12</v>
      </c>
      <c r="H527" s="511">
        <v>15320.685000000001</v>
      </c>
      <c r="I527" s="506">
        <v>600</v>
      </c>
      <c r="J527" s="500"/>
      <c r="K527" s="500"/>
      <c r="L527" s="4"/>
      <c r="M527" s="4"/>
      <c r="N527" s="4"/>
      <c r="O527" s="4"/>
      <c r="P527" s="784"/>
      <c r="Q527" s="784">
        <v>19150.856250000001</v>
      </c>
      <c r="R527" s="784">
        <v>19150.856250000001</v>
      </c>
      <c r="S527" s="512">
        <v>38301.712500000001</v>
      </c>
      <c r="T527" s="512">
        <v>0</v>
      </c>
      <c r="U527" s="512">
        <v>750</v>
      </c>
      <c r="V527" s="512">
        <v>750</v>
      </c>
      <c r="W527" s="512">
        <v>1500</v>
      </c>
      <c r="X527" s="349" t="s">
        <v>882</v>
      </c>
      <c r="Y527" s="500" t="s">
        <v>2063</v>
      </c>
      <c r="Z527" s="500"/>
      <c r="AA527" s="4"/>
      <c r="AB527" s="4"/>
      <c r="AC527" s="4"/>
      <c r="AD527" s="4"/>
    </row>
    <row r="528" spans="1:30" ht="14.25" customHeight="1">
      <c r="A528" s="768" t="str">
        <f>Напрями!$A$76</f>
        <v>218M</v>
      </c>
      <c r="B528" s="4"/>
      <c r="C528" s="768" t="s">
        <v>2063</v>
      </c>
      <c r="D528" s="501" t="s">
        <v>1045</v>
      </c>
      <c r="E528" s="816">
        <v>0.15</v>
      </c>
      <c r="F528" s="500"/>
      <c r="G528" s="519">
        <v>701074.54560000007</v>
      </c>
      <c r="H528" s="511">
        <v>105161.18184</v>
      </c>
      <c r="I528" s="506">
        <v>4118.4000000000005</v>
      </c>
      <c r="J528" s="500"/>
      <c r="K528" s="500"/>
      <c r="L528" s="4"/>
      <c r="M528" s="4"/>
      <c r="N528" s="4"/>
      <c r="O528" s="4"/>
      <c r="P528" s="789">
        <v>0</v>
      </c>
      <c r="Q528" s="789">
        <v>119960.96354999999</v>
      </c>
      <c r="R528" s="789">
        <v>112300.62105</v>
      </c>
      <c r="S528" s="512">
        <v>232261.5846</v>
      </c>
      <c r="T528" s="512">
        <v>0</v>
      </c>
      <c r="U528" s="512">
        <v>4697.9999999999991</v>
      </c>
      <c r="V528" s="512">
        <v>4398</v>
      </c>
      <c r="W528" s="512">
        <v>9096</v>
      </c>
      <c r="X528" s="349" t="s">
        <v>875</v>
      </c>
      <c r="Y528" s="500" t="s">
        <v>2063</v>
      </c>
      <c r="Z528" s="500"/>
      <c r="AA528" s="4"/>
      <c r="AB528" s="4"/>
      <c r="AC528" s="4"/>
      <c r="AD528" s="4"/>
    </row>
    <row r="529" spans="1:30" ht="14.25" customHeight="1">
      <c r="A529" s="768" t="str">
        <f>Напрями!$A$76</f>
        <v>218M</v>
      </c>
      <c r="B529" s="4"/>
      <c r="C529" s="768" t="s">
        <v>2063</v>
      </c>
      <c r="D529" s="501" t="s">
        <v>1046</v>
      </c>
      <c r="E529" s="816">
        <v>0.1</v>
      </c>
      <c r="F529" s="500"/>
      <c r="G529" s="519">
        <v>701074.54560000007</v>
      </c>
      <c r="H529" s="511">
        <v>70107.454560000013</v>
      </c>
      <c r="I529" s="506">
        <v>2745.6000000000004</v>
      </c>
      <c r="J529" s="500"/>
      <c r="K529" s="500"/>
      <c r="L529" s="4"/>
      <c r="M529" s="4"/>
      <c r="N529" s="4"/>
      <c r="O529" s="4"/>
      <c r="P529" s="789">
        <v>0</v>
      </c>
      <c r="Q529" s="789">
        <v>79973.97570000001</v>
      </c>
      <c r="R529" s="789">
        <v>74867.080700000006</v>
      </c>
      <c r="S529" s="512">
        <v>154841.0564</v>
      </c>
      <c r="T529" s="512">
        <v>0</v>
      </c>
      <c r="U529" s="512">
        <v>3132.0000000000005</v>
      </c>
      <c r="V529" s="512">
        <v>2932</v>
      </c>
      <c r="W529" s="512">
        <v>6064</v>
      </c>
      <c r="X529" s="349" t="s">
        <v>881</v>
      </c>
      <c r="Y529" s="500" t="s">
        <v>2063</v>
      </c>
      <c r="Z529" s="500"/>
      <c r="AA529" s="4"/>
      <c r="AB529" s="4"/>
      <c r="AC529" s="4"/>
      <c r="AD529" s="4"/>
    </row>
    <row r="530" spans="1:30" ht="14.25" customHeight="1">
      <c r="A530" s="768"/>
      <c r="B530" s="4"/>
      <c r="C530" s="768"/>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4.25" customHeight="1">
      <c r="A531" s="768"/>
      <c r="B531" s="4"/>
      <c r="C531" s="768"/>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4.25" customHeight="1">
      <c r="A532" s="768" t="str">
        <f>Напрями!$A$72</f>
        <v>214M</v>
      </c>
      <c r="B532" s="4"/>
      <c r="C532" s="768" t="s">
        <v>1983</v>
      </c>
      <c r="D532" s="474" t="s">
        <v>2351</v>
      </c>
      <c r="E532" s="769"/>
      <c r="F532" s="769"/>
      <c r="G532" s="769"/>
      <c r="H532" s="769"/>
      <c r="I532" s="769"/>
      <c r="J532" s="770"/>
      <c r="K532" s="769"/>
      <c r="L532" s="770"/>
      <c r="M532" s="770"/>
      <c r="N532" s="769"/>
      <c r="O532" s="769"/>
      <c r="P532" s="769"/>
      <c r="Q532" s="769"/>
      <c r="R532" s="769"/>
      <c r="S532" s="769"/>
      <c r="T532" s="769"/>
      <c r="U532" s="769"/>
      <c r="V532" s="769"/>
      <c r="W532" s="771"/>
      <c r="X532" s="769"/>
      <c r="Y532" s="769"/>
      <c r="Z532" s="4"/>
      <c r="AA532" s="4"/>
      <c r="AB532" s="4"/>
      <c r="AC532" s="4"/>
      <c r="AD532" s="4"/>
    </row>
    <row r="533" spans="1:30" ht="14.25" customHeight="1">
      <c r="A533" s="768" t="str">
        <f>Напрями!$A$72</f>
        <v>214M</v>
      </c>
      <c r="B533" s="4"/>
      <c r="C533" s="768" t="s">
        <v>1983</v>
      </c>
      <c r="D533" s="524" t="s">
        <v>2075</v>
      </c>
      <c r="E533" s="525" t="s">
        <v>394</v>
      </c>
      <c r="F533" s="525" t="s">
        <v>2076</v>
      </c>
      <c r="G533" s="525" t="s">
        <v>2077</v>
      </c>
      <c r="H533" s="478" t="s">
        <v>2078</v>
      </c>
      <c r="I533" s="478" t="s">
        <v>2079</v>
      </c>
      <c r="J533" s="479" t="s">
        <v>2080</v>
      </c>
      <c r="K533" s="96"/>
      <c r="L533" s="96"/>
      <c r="M533" s="96"/>
      <c r="N533" s="96"/>
      <c r="O533" s="96"/>
      <c r="P533" s="96"/>
      <c r="Q533" s="96"/>
      <c r="R533" s="96"/>
      <c r="S533" s="96"/>
      <c r="T533" s="96"/>
      <c r="U533" s="96"/>
      <c r="V533" s="96"/>
      <c r="W533" s="96"/>
      <c r="X533" s="772"/>
      <c r="Y533" s="96"/>
      <c r="Z533" s="4"/>
      <c r="AA533" s="4"/>
      <c r="AB533" s="4"/>
      <c r="AC533" s="4"/>
      <c r="AD533" s="4"/>
    </row>
    <row r="534" spans="1:30" ht="14.25" customHeight="1">
      <c r="A534" s="768" t="str">
        <f>Напрями!$A$72</f>
        <v>214M</v>
      </c>
      <c r="B534" s="4"/>
      <c r="C534" s="768" t="s">
        <v>1983</v>
      </c>
      <c r="D534" s="530" t="s">
        <v>2352</v>
      </c>
      <c r="E534" s="527" t="s">
        <v>2353</v>
      </c>
      <c r="F534" s="527">
        <v>207</v>
      </c>
      <c r="G534" s="527">
        <v>1</v>
      </c>
      <c r="H534" s="527">
        <v>1</v>
      </c>
      <c r="I534" s="483">
        <v>207</v>
      </c>
      <c r="J534" s="483">
        <v>8.1066871357253287</v>
      </c>
      <c r="K534" s="96"/>
      <c r="L534" s="484"/>
      <c r="M534" s="485">
        <v>0</v>
      </c>
      <c r="N534" s="485">
        <v>3890</v>
      </c>
      <c r="O534" s="485">
        <v>2540</v>
      </c>
      <c r="P534" s="486">
        <v>0</v>
      </c>
      <c r="Q534" s="486">
        <v>805230</v>
      </c>
      <c r="R534" s="486">
        <v>525780</v>
      </c>
      <c r="S534" s="487">
        <v>1331010</v>
      </c>
      <c r="T534" s="487">
        <v>0</v>
      </c>
      <c r="U534" s="487">
        <v>31535.012957971525</v>
      </c>
      <c r="V534" s="487">
        <v>20590.985324742334</v>
      </c>
      <c r="W534" s="481">
        <v>52125.998282713859</v>
      </c>
      <c r="X534" s="442" t="s">
        <v>1150</v>
      </c>
      <c r="Y534" s="96" t="s">
        <v>1983</v>
      </c>
      <c r="Z534" s="4"/>
      <c r="AA534" s="4"/>
      <c r="AB534" s="4"/>
      <c r="AC534" s="4"/>
      <c r="AD534" s="4"/>
    </row>
    <row r="535" spans="1:30" ht="14.25" customHeight="1">
      <c r="A535" s="768" t="str">
        <f>Напрями!$A$72</f>
        <v>214M</v>
      </c>
      <c r="B535" s="4"/>
      <c r="C535" s="768" t="s">
        <v>1983</v>
      </c>
      <c r="D535" s="530" t="s">
        <v>2354</v>
      </c>
      <c r="E535" s="527" t="s">
        <v>2353</v>
      </c>
      <c r="F535" s="527">
        <v>110</v>
      </c>
      <c r="G535" s="527">
        <v>1</v>
      </c>
      <c r="H535" s="527">
        <v>1</v>
      </c>
      <c r="I535" s="483">
        <v>110</v>
      </c>
      <c r="J535" s="483">
        <v>4.3079013764723966</v>
      </c>
      <c r="K535" s="96"/>
      <c r="L535" s="484"/>
      <c r="M535" s="485">
        <v>0</v>
      </c>
      <c r="N535" s="485">
        <v>3890</v>
      </c>
      <c r="O535" s="485">
        <v>2540</v>
      </c>
      <c r="P535" s="486">
        <v>0</v>
      </c>
      <c r="Q535" s="486">
        <v>427900</v>
      </c>
      <c r="R535" s="486">
        <v>279400</v>
      </c>
      <c r="S535" s="487">
        <v>707300</v>
      </c>
      <c r="T535" s="487">
        <v>0</v>
      </c>
      <c r="U535" s="487">
        <v>16757.736354477624</v>
      </c>
      <c r="V535" s="487">
        <v>10942.069496239887</v>
      </c>
      <c r="W535" s="481">
        <v>27699.805850717508</v>
      </c>
      <c r="X535" s="442" t="s">
        <v>1150</v>
      </c>
      <c r="Y535" s="96" t="s">
        <v>1983</v>
      </c>
      <c r="Z535" s="4"/>
      <c r="AA535" s="4"/>
      <c r="AB535" s="4"/>
      <c r="AC535" s="4"/>
      <c r="AD535" s="4"/>
    </row>
    <row r="536" spans="1:30" ht="14.25" customHeight="1">
      <c r="A536" s="768" t="str">
        <f>Напрями!$A$72</f>
        <v>214M</v>
      </c>
      <c r="B536" s="4"/>
      <c r="C536" s="768" t="s">
        <v>1983</v>
      </c>
      <c r="D536" s="530" t="s">
        <v>2355</v>
      </c>
      <c r="E536" s="527" t="s">
        <v>2353</v>
      </c>
      <c r="F536" s="527">
        <v>60</v>
      </c>
      <c r="G536" s="527">
        <v>1</v>
      </c>
      <c r="H536" s="527">
        <v>1</v>
      </c>
      <c r="I536" s="483">
        <v>60</v>
      </c>
      <c r="J536" s="483">
        <v>2.3497643871667617</v>
      </c>
      <c r="K536" s="96" t="s">
        <v>2356</v>
      </c>
      <c r="L536" s="484"/>
      <c r="M536" s="485">
        <v>0</v>
      </c>
      <c r="N536" s="485">
        <v>3890</v>
      </c>
      <c r="O536" s="485">
        <v>2540</v>
      </c>
      <c r="P536" s="486">
        <v>0</v>
      </c>
      <c r="Q536" s="486">
        <v>233400</v>
      </c>
      <c r="R536" s="486">
        <v>152400</v>
      </c>
      <c r="S536" s="487">
        <v>385800</v>
      </c>
      <c r="T536" s="487">
        <v>0</v>
      </c>
      <c r="U536" s="487">
        <v>9140.5834660787041</v>
      </c>
      <c r="V536" s="487">
        <v>5968.4015434035746</v>
      </c>
      <c r="W536" s="481">
        <v>15108.985009482278</v>
      </c>
      <c r="X536" s="817" t="s">
        <v>877</v>
      </c>
      <c r="Y536" s="96" t="s">
        <v>1983</v>
      </c>
      <c r="Z536" s="4"/>
      <c r="AA536" s="4"/>
      <c r="AB536" s="4"/>
      <c r="AC536" s="4"/>
      <c r="AD536" s="4"/>
    </row>
    <row r="537" spans="1:30" ht="14.25" customHeight="1">
      <c r="A537" s="768" t="str">
        <f>Напрями!$A$72</f>
        <v>214M</v>
      </c>
      <c r="B537" s="4"/>
      <c r="C537" s="768" t="s">
        <v>1983</v>
      </c>
      <c r="D537" s="121" t="s">
        <v>2357</v>
      </c>
      <c r="E537" s="482"/>
      <c r="F537" s="104"/>
      <c r="G537" s="104"/>
      <c r="H537" s="104"/>
      <c r="I537" s="483">
        <v>37.700000000000003</v>
      </c>
      <c r="J537" s="483">
        <v>1.4764352899364488</v>
      </c>
      <c r="K537" s="96"/>
      <c r="L537" s="484"/>
      <c r="M537" s="485">
        <v>0</v>
      </c>
      <c r="N537" s="485">
        <v>3890</v>
      </c>
      <c r="O537" s="485">
        <v>2540</v>
      </c>
      <c r="P537" s="486">
        <v>0</v>
      </c>
      <c r="Q537" s="486">
        <v>146653</v>
      </c>
      <c r="R537" s="486">
        <v>95758</v>
      </c>
      <c r="S537" s="487">
        <v>242411</v>
      </c>
      <c r="T537" s="487">
        <v>0</v>
      </c>
      <c r="U537" s="487">
        <v>5743.3332778527856</v>
      </c>
      <c r="V537" s="487">
        <v>3750.1456364385795</v>
      </c>
      <c r="W537" s="481">
        <v>9493.4789142913651</v>
      </c>
      <c r="X537" s="817" t="s">
        <v>977</v>
      </c>
      <c r="Y537" s="96" t="s">
        <v>1983</v>
      </c>
      <c r="Z537" s="4"/>
      <c r="AA537" s="4"/>
      <c r="AB537" s="4"/>
      <c r="AC537" s="4"/>
      <c r="AD537" s="4"/>
    </row>
    <row r="538" spans="1:30" ht="14.25" customHeight="1">
      <c r="A538" s="768" t="str">
        <f>Напрями!$A$72</f>
        <v>214M</v>
      </c>
      <c r="B538" s="4"/>
      <c r="C538" s="768" t="s">
        <v>1983</v>
      </c>
      <c r="D538" s="121" t="s">
        <v>962</v>
      </c>
      <c r="E538" s="482"/>
      <c r="F538" s="104"/>
      <c r="G538" s="104"/>
      <c r="H538" s="104"/>
      <c r="I538" s="483">
        <v>56.55</v>
      </c>
      <c r="J538" s="483">
        <v>2.2146529349046729</v>
      </c>
      <c r="K538" s="96"/>
      <c r="L538" s="484"/>
      <c r="M538" s="485">
        <v>0</v>
      </c>
      <c r="N538" s="485">
        <v>3890</v>
      </c>
      <c r="O538" s="485">
        <v>2540</v>
      </c>
      <c r="P538" s="486">
        <v>0</v>
      </c>
      <c r="Q538" s="486">
        <v>219979.5</v>
      </c>
      <c r="R538" s="486">
        <v>143637</v>
      </c>
      <c r="S538" s="487">
        <v>363616.5</v>
      </c>
      <c r="T538" s="487">
        <v>0</v>
      </c>
      <c r="U538" s="487">
        <v>8614.9999167791775</v>
      </c>
      <c r="V538" s="487">
        <v>5625.2184546578692</v>
      </c>
      <c r="W538" s="481">
        <v>14240.218371437048</v>
      </c>
      <c r="X538" s="772" t="s">
        <v>881</v>
      </c>
      <c r="Y538" s="96" t="s">
        <v>1983</v>
      </c>
      <c r="Z538" s="4"/>
      <c r="AA538" s="4"/>
      <c r="AB538" s="4"/>
      <c r="AC538" s="4"/>
      <c r="AD538" s="4"/>
    </row>
    <row r="539" spans="1:30" ht="14.25" customHeight="1">
      <c r="A539" s="768" t="str">
        <f>Напрями!$A$72</f>
        <v>214M</v>
      </c>
      <c r="B539" s="4"/>
      <c r="C539" s="768" t="s">
        <v>1983</v>
      </c>
      <c r="D539" s="546" t="s">
        <v>770</v>
      </c>
      <c r="E539" s="547"/>
      <c r="F539" s="547"/>
      <c r="G539" s="547"/>
      <c r="H539" s="547"/>
      <c r="I539" s="488">
        <v>471.25</v>
      </c>
      <c r="J539" s="593">
        <v>18.45544112420561</v>
      </c>
      <c r="K539" s="96"/>
      <c r="L539" s="485"/>
      <c r="M539" s="485">
        <v>0</v>
      </c>
      <c r="N539" s="485">
        <v>3890</v>
      </c>
      <c r="O539" s="485">
        <v>2540</v>
      </c>
      <c r="P539" s="486">
        <v>0</v>
      </c>
      <c r="Q539" s="486">
        <v>1833162.5</v>
      </c>
      <c r="R539" s="486">
        <v>1196975</v>
      </c>
      <c r="S539" s="487">
        <v>3030137.5</v>
      </c>
      <c r="T539" s="487">
        <v>0</v>
      </c>
      <c r="U539" s="487">
        <v>71791.665973159819</v>
      </c>
      <c r="V539" s="487">
        <v>46876.820455482244</v>
      </c>
      <c r="W539" s="491">
        <v>118668.48642864206</v>
      </c>
      <c r="X539" s="772"/>
      <c r="Y539" s="96"/>
      <c r="Z539" s="4"/>
      <c r="AA539" s="4"/>
      <c r="AB539" s="4"/>
      <c r="AC539" s="4"/>
      <c r="AD539" s="4"/>
    </row>
    <row r="540" spans="1:30" ht="14.25" customHeight="1">
      <c r="A540" s="768"/>
      <c r="B540" s="4"/>
      <c r="C540" s="768"/>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4.25" customHeight="1">
      <c r="A541" s="768"/>
      <c r="B541" s="4"/>
      <c r="C541" s="768"/>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4.25" customHeight="1">
      <c r="A542" s="818" t="s">
        <v>1938</v>
      </c>
      <c r="B542" s="594"/>
      <c r="C542" s="818" t="s">
        <v>1885</v>
      </c>
      <c r="D542" s="595" t="s">
        <v>685</v>
      </c>
      <c r="E542" s="596"/>
      <c r="F542" s="596"/>
      <c r="G542" s="596"/>
      <c r="H542" s="596"/>
      <c r="I542" s="596"/>
      <c r="J542" s="596"/>
      <c r="K542" s="819"/>
      <c r="L542" s="819"/>
      <c r="M542" s="819"/>
      <c r="N542" s="819"/>
      <c r="O542" s="819"/>
      <c r="P542" s="819"/>
      <c r="Q542" s="819"/>
      <c r="R542" s="819"/>
      <c r="S542" s="819"/>
      <c r="T542" s="819"/>
      <c r="U542" s="819"/>
      <c r="V542" s="819"/>
      <c r="W542" s="819"/>
      <c r="X542" s="819"/>
      <c r="Y542" s="819"/>
      <c r="Z542" s="819"/>
      <c r="AA542" s="819"/>
      <c r="AB542" s="819"/>
      <c r="AC542" s="819"/>
      <c r="AD542" s="594"/>
    </row>
    <row r="543" spans="1:30" ht="14.25" customHeight="1">
      <c r="A543" s="818" t="s">
        <v>1938</v>
      </c>
      <c r="B543" s="594"/>
      <c r="C543" s="818" t="s">
        <v>1885</v>
      </c>
      <c r="D543" s="597" t="s">
        <v>1304</v>
      </c>
      <c r="E543" s="598" t="s">
        <v>1388</v>
      </c>
      <c r="F543" s="598" t="s">
        <v>1307</v>
      </c>
      <c r="G543" s="598" t="s">
        <v>1308</v>
      </c>
      <c r="H543" s="598" t="s">
        <v>1309</v>
      </c>
      <c r="I543" s="598" t="s">
        <v>972</v>
      </c>
      <c r="J543" s="598" t="s">
        <v>973</v>
      </c>
      <c r="K543" s="599" t="s">
        <v>974</v>
      </c>
      <c r="L543" s="599"/>
      <c r="M543" s="600"/>
      <c r="N543" s="600"/>
      <c r="O543" s="600"/>
      <c r="P543" s="600"/>
      <c r="Q543" s="600"/>
      <c r="R543" s="600"/>
      <c r="S543" s="600"/>
      <c r="T543" s="600"/>
      <c r="U543" s="600"/>
      <c r="V543" s="600"/>
      <c r="W543" s="600"/>
      <c r="X543" s="820"/>
      <c r="Y543" s="600"/>
      <c r="Z543" s="600"/>
      <c r="AA543" s="600"/>
      <c r="AB543" s="600"/>
      <c r="AC543" s="600"/>
      <c r="AD543" s="594"/>
    </row>
    <row r="544" spans="1:30" ht="14.25" customHeight="1">
      <c r="A544" s="818" t="s">
        <v>1938</v>
      </c>
      <c r="B544" s="594"/>
      <c r="C544" s="818" t="s">
        <v>1885</v>
      </c>
      <c r="D544" s="821" t="s">
        <v>2358</v>
      </c>
      <c r="E544" s="822" t="s">
        <v>2359</v>
      </c>
      <c r="F544" s="601"/>
      <c r="G544" s="601">
        <v>12</v>
      </c>
      <c r="H544" s="822">
        <v>12</v>
      </c>
      <c r="I544" s="822" t="s">
        <v>632</v>
      </c>
      <c r="J544" s="822" t="s">
        <v>2360</v>
      </c>
      <c r="K544" s="822"/>
      <c r="L544" s="822"/>
      <c r="M544" s="602">
        <v>1</v>
      </c>
      <c r="N544" s="602">
        <v>1</v>
      </c>
      <c r="O544" s="602">
        <v>1</v>
      </c>
      <c r="P544" s="823"/>
      <c r="Q544" s="823"/>
      <c r="R544" s="823"/>
      <c r="S544" s="823"/>
      <c r="T544" s="603">
        <v>0</v>
      </c>
      <c r="U544" s="600"/>
      <c r="V544" s="603" t="s">
        <v>2361</v>
      </c>
      <c r="W544" s="600"/>
      <c r="X544" s="820" t="s">
        <v>881</v>
      </c>
      <c r="Y544" s="600"/>
      <c r="Z544" s="600"/>
      <c r="AA544" s="600"/>
      <c r="AB544" s="600"/>
      <c r="AC544" s="600"/>
      <c r="AD544" s="594"/>
    </row>
    <row r="545" spans="1:30" ht="14.25" customHeight="1">
      <c r="A545" s="818" t="s">
        <v>1938</v>
      </c>
      <c r="B545" s="594"/>
      <c r="C545" s="818" t="s">
        <v>1885</v>
      </c>
      <c r="D545" s="821" t="s">
        <v>2362</v>
      </c>
      <c r="E545" s="822" t="s">
        <v>2363</v>
      </c>
      <c r="F545" s="601"/>
      <c r="G545" s="601">
        <v>12</v>
      </c>
      <c r="H545" s="822">
        <v>12</v>
      </c>
      <c r="I545" s="822" t="s">
        <v>632</v>
      </c>
      <c r="J545" s="822" t="s">
        <v>2364</v>
      </c>
      <c r="K545" s="822"/>
      <c r="L545" s="822"/>
      <c r="M545" s="602">
        <v>1</v>
      </c>
      <c r="N545" s="602">
        <v>1</v>
      </c>
      <c r="O545" s="602">
        <v>1</v>
      </c>
      <c r="P545" s="823"/>
      <c r="Q545" s="823"/>
      <c r="R545" s="823"/>
      <c r="S545" s="823"/>
      <c r="T545" s="603">
        <v>0</v>
      </c>
      <c r="U545" s="600"/>
      <c r="V545" s="603" t="s">
        <v>2365</v>
      </c>
      <c r="W545" s="600"/>
      <c r="X545" s="820" t="s">
        <v>977</v>
      </c>
      <c r="Y545" s="600"/>
      <c r="Z545" s="600"/>
      <c r="AA545" s="600"/>
      <c r="AB545" s="600"/>
      <c r="AC545" s="600"/>
      <c r="AD545" s="594"/>
    </row>
    <row r="546" spans="1:30" ht="14.25" customHeight="1">
      <c r="A546" s="818" t="s">
        <v>1938</v>
      </c>
      <c r="B546" s="594"/>
      <c r="C546" s="818" t="s">
        <v>1885</v>
      </c>
      <c r="D546" s="821" t="s">
        <v>2362</v>
      </c>
      <c r="E546" s="822" t="s">
        <v>2363</v>
      </c>
      <c r="F546" s="601"/>
      <c r="G546" s="601">
        <v>12</v>
      </c>
      <c r="H546" s="822">
        <v>12</v>
      </c>
      <c r="I546" s="822" t="s">
        <v>632</v>
      </c>
      <c r="J546" s="822" t="s">
        <v>2364</v>
      </c>
      <c r="K546" s="822"/>
      <c r="L546" s="822"/>
      <c r="M546" s="602"/>
      <c r="N546" s="602"/>
      <c r="O546" s="602"/>
      <c r="P546" s="823"/>
      <c r="Q546" s="823"/>
      <c r="R546" s="823"/>
      <c r="S546" s="823"/>
      <c r="T546" s="600"/>
      <c r="U546" s="600"/>
      <c r="V546" s="603" t="s">
        <v>2365</v>
      </c>
      <c r="W546" s="600"/>
      <c r="X546" s="820" t="s">
        <v>977</v>
      </c>
      <c r="Y546" s="600"/>
      <c r="Z546" s="600"/>
      <c r="AA546" s="600"/>
      <c r="AB546" s="600"/>
      <c r="AC546" s="600"/>
      <c r="AD546" s="594"/>
    </row>
    <row r="547" spans="1:30" ht="14.25" customHeight="1">
      <c r="A547" s="818" t="s">
        <v>1938</v>
      </c>
      <c r="B547" s="594"/>
      <c r="C547" s="818" t="s">
        <v>1885</v>
      </c>
      <c r="D547" s="821" t="s">
        <v>2362</v>
      </c>
      <c r="E547" s="822" t="s">
        <v>2363</v>
      </c>
      <c r="F547" s="601"/>
      <c r="G547" s="601">
        <v>12</v>
      </c>
      <c r="H547" s="822">
        <v>12</v>
      </c>
      <c r="I547" s="822" t="s">
        <v>632</v>
      </c>
      <c r="J547" s="822" t="s">
        <v>2364</v>
      </c>
      <c r="K547" s="822"/>
      <c r="L547" s="822"/>
      <c r="M547" s="602"/>
      <c r="N547" s="602"/>
      <c r="O547" s="602"/>
      <c r="P547" s="823"/>
      <c r="Q547" s="823"/>
      <c r="R547" s="823"/>
      <c r="S547" s="823"/>
      <c r="T547" s="600"/>
      <c r="U547" s="600"/>
      <c r="V547" s="603" t="s">
        <v>2365</v>
      </c>
      <c r="W547" s="600"/>
      <c r="X547" s="820" t="s">
        <v>977</v>
      </c>
      <c r="Y547" s="600"/>
      <c r="Z547" s="600"/>
      <c r="AA547" s="600"/>
      <c r="AB547" s="600"/>
      <c r="AC547" s="600"/>
      <c r="AD547" s="594"/>
    </row>
    <row r="548" spans="1:30" ht="14.25" customHeight="1">
      <c r="A548" s="818" t="s">
        <v>1938</v>
      </c>
      <c r="B548" s="594"/>
      <c r="C548" s="818" t="s">
        <v>1885</v>
      </c>
      <c r="D548" s="821" t="s">
        <v>2362</v>
      </c>
      <c r="E548" s="822" t="s">
        <v>2363</v>
      </c>
      <c r="F548" s="601"/>
      <c r="G548" s="601">
        <v>12</v>
      </c>
      <c r="H548" s="822">
        <v>12</v>
      </c>
      <c r="I548" s="822" t="s">
        <v>632</v>
      </c>
      <c r="J548" s="822" t="s">
        <v>2364</v>
      </c>
      <c r="K548" s="822"/>
      <c r="L548" s="822"/>
      <c r="M548" s="602"/>
      <c r="N548" s="602"/>
      <c r="O548" s="602"/>
      <c r="P548" s="823"/>
      <c r="Q548" s="823"/>
      <c r="R548" s="823"/>
      <c r="S548" s="823"/>
      <c r="T548" s="600"/>
      <c r="U548" s="600"/>
      <c r="V548" s="603" t="s">
        <v>2365</v>
      </c>
      <c r="W548" s="600"/>
      <c r="X548" s="820" t="s">
        <v>977</v>
      </c>
      <c r="Y548" s="600"/>
      <c r="Z548" s="600"/>
      <c r="AA548" s="600"/>
      <c r="AB548" s="600"/>
      <c r="AC548" s="600"/>
      <c r="AD548" s="594"/>
    </row>
    <row r="549" spans="1:30" ht="14.25" customHeight="1">
      <c r="A549" s="818" t="s">
        <v>1938</v>
      </c>
      <c r="B549" s="594"/>
      <c r="C549" s="818" t="s">
        <v>1885</v>
      </c>
      <c r="D549" s="821" t="s">
        <v>2362</v>
      </c>
      <c r="E549" s="822" t="s">
        <v>2363</v>
      </c>
      <c r="F549" s="601"/>
      <c r="G549" s="601">
        <v>12</v>
      </c>
      <c r="H549" s="822">
        <v>12</v>
      </c>
      <c r="I549" s="822" t="s">
        <v>632</v>
      </c>
      <c r="J549" s="822" t="s">
        <v>2364</v>
      </c>
      <c r="K549" s="822"/>
      <c r="L549" s="822"/>
      <c r="M549" s="602"/>
      <c r="N549" s="602"/>
      <c r="O549" s="602"/>
      <c r="P549" s="823"/>
      <c r="Q549" s="823"/>
      <c r="R549" s="823"/>
      <c r="S549" s="823"/>
      <c r="T549" s="600"/>
      <c r="U549" s="600"/>
      <c r="V549" s="603" t="s">
        <v>2365</v>
      </c>
      <c r="W549" s="600"/>
      <c r="X549" s="820" t="s">
        <v>977</v>
      </c>
      <c r="Y549" s="600"/>
      <c r="Z549" s="600"/>
      <c r="AA549" s="600"/>
      <c r="AB549" s="600"/>
      <c r="AC549" s="600"/>
      <c r="AD549" s="594"/>
    </row>
    <row r="550" spans="1:30" ht="14.25" customHeight="1">
      <c r="A550" s="818" t="s">
        <v>1938</v>
      </c>
      <c r="B550" s="594"/>
      <c r="C550" s="818" t="s">
        <v>1885</v>
      </c>
      <c r="D550" s="821" t="s">
        <v>2366</v>
      </c>
      <c r="E550" s="822" t="s">
        <v>2363</v>
      </c>
      <c r="F550" s="601"/>
      <c r="G550" s="601">
        <v>12</v>
      </c>
      <c r="H550" s="822">
        <v>12</v>
      </c>
      <c r="I550" s="822" t="s">
        <v>632</v>
      </c>
      <c r="J550" s="822" t="s">
        <v>2364</v>
      </c>
      <c r="K550" s="822"/>
      <c r="L550" s="822"/>
      <c r="M550" s="602">
        <v>1</v>
      </c>
      <c r="N550" s="602">
        <v>1</v>
      </c>
      <c r="O550" s="602">
        <v>1</v>
      </c>
      <c r="P550" s="823"/>
      <c r="Q550" s="823"/>
      <c r="R550" s="823"/>
      <c r="S550" s="823"/>
      <c r="T550" s="603">
        <v>0</v>
      </c>
      <c r="U550" s="600"/>
      <c r="V550" s="603" t="s">
        <v>2365</v>
      </c>
      <c r="W550" s="600"/>
      <c r="X550" s="820" t="s">
        <v>977</v>
      </c>
      <c r="Y550" s="600"/>
      <c r="Z550" s="600"/>
      <c r="AA550" s="600"/>
      <c r="AB550" s="600"/>
      <c r="AC550" s="600"/>
      <c r="AD550" s="594"/>
    </row>
    <row r="551" spans="1:30" ht="14.25" customHeight="1">
      <c r="A551" s="818" t="s">
        <v>1938</v>
      </c>
      <c r="B551" s="594"/>
      <c r="C551" s="818" t="s">
        <v>1885</v>
      </c>
      <c r="D551" s="821" t="s">
        <v>2367</v>
      </c>
      <c r="E551" s="822">
        <v>244</v>
      </c>
      <c r="F551" s="601"/>
      <c r="G551" s="601">
        <v>350</v>
      </c>
      <c r="H551" s="601">
        <v>243</v>
      </c>
      <c r="I551" s="822" t="s">
        <v>632</v>
      </c>
      <c r="J551" s="822" t="s">
        <v>2368</v>
      </c>
      <c r="K551" s="822"/>
      <c r="L551" s="822"/>
      <c r="M551" s="602">
        <v>1</v>
      </c>
      <c r="N551" s="602">
        <v>1</v>
      </c>
      <c r="O551" s="602">
        <v>1</v>
      </c>
      <c r="P551" s="823"/>
      <c r="Q551" s="823"/>
      <c r="R551" s="823"/>
      <c r="S551" s="823"/>
      <c r="T551" s="603">
        <v>0</v>
      </c>
      <c r="U551" s="600"/>
      <c r="V551" s="603" t="s">
        <v>2369</v>
      </c>
      <c r="W551" s="600"/>
      <c r="X551" s="820" t="s">
        <v>989</v>
      </c>
      <c r="Y551" s="594"/>
      <c r="Z551" s="594"/>
      <c r="AA551" s="594"/>
      <c r="AB551" s="594"/>
      <c r="AC551" s="594"/>
      <c r="AD551" s="594"/>
    </row>
    <row r="552" spans="1:30" ht="14.25" customHeight="1">
      <c r="A552" s="818" t="s">
        <v>1938</v>
      </c>
      <c r="B552" s="594"/>
      <c r="C552" s="818" t="s">
        <v>1885</v>
      </c>
      <c r="D552" s="821" t="s">
        <v>2370</v>
      </c>
      <c r="E552" s="822" t="s">
        <v>2363</v>
      </c>
      <c r="F552" s="601"/>
      <c r="G552" s="601">
        <v>12</v>
      </c>
      <c r="H552" s="822">
        <v>12</v>
      </c>
      <c r="I552" s="822" t="s">
        <v>632</v>
      </c>
      <c r="J552" s="822" t="s">
        <v>2364</v>
      </c>
      <c r="K552" s="822"/>
      <c r="L552" s="822"/>
      <c r="M552" s="602">
        <v>1</v>
      </c>
      <c r="N552" s="602">
        <v>1</v>
      </c>
      <c r="O552" s="602">
        <v>1</v>
      </c>
      <c r="P552" s="823"/>
      <c r="Q552" s="823"/>
      <c r="R552" s="823"/>
      <c r="S552" s="823"/>
      <c r="T552" s="603">
        <v>0</v>
      </c>
      <c r="U552" s="600"/>
      <c r="V552" s="603" t="s">
        <v>2365</v>
      </c>
      <c r="W552" s="600"/>
      <c r="X552" s="820" t="s">
        <v>977</v>
      </c>
      <c r="Y552" s="594"/>
      <c r="Z552" s="594"/>
      <c r="AA552" s="594"/>
      <c r="AB552" s="594"/>
      <c r="AC552" s="594"/>
      <c r="AD552" s="594"/>
    </row>
    <row r="553" spans="1:30" ht="14.25" customHeight="1">
      <c r="A553" s="818" t="s">
        <v>1938</v>
      </c>
      <c r="B553" s="594"/>
      <c r="C553" s="818" t="s">
        <v>1885</v>
      </c>
      <c r="D553" s="821" t="s">
        <v>2371</v>
      </c>
      <c r="E553" s="822" t="s">
        <v>2372</v>
      </c>
      <c r="F553" s="601"/>
      <c r="G553" s="601">
        <v>12</v>
      </c>
      <c r="H553" s="822">
        <v>12</v>
      </c>
      <c r="I553" s="822" t="s">
        <v>632</v>
      </c>
      <c r="J553" s="822" t="s">
        <v>2373</v>
      </c>
      <c r="K553" s="822"/>
      <c r="L553" s="822"/>
      <c r="M553" s="602">
        <v>1</v>
      </c>
      <c r="N553" s="602">
        <v>1</v>
      </c>
      <c r="O553" s="602">
        <v>1</v>
      </c>
      <c r="P553" s="823"/>
      <c r="Q553" s="823"/>
      <c r="R553" s="823"/>
      <c r="S553" s="823"/>
      <c r="T553" s="603">
        <v>0</v>
      </c>
      <c r="U553" s="600"/>
      <c r="V553" s="603">
        <v>514</v>
      </c>
      <c r="W553" s="600"/>
      <c r="X553" s="820" t="s">
        <v>977</v>
      </c>
      <c r="Y553" s="594"/>
      <c r="Z553" s="594"/>
      <c r="AA553" s="594"/>
      <c r="AB553" s="594"/>
      <c r="AC553" s="594"/>
      <c r="AD553" s="594"/>
    </row>
    <row r="554" spans="1:30" ht="14.25" customHeight="1">
      <c r="A554" s="818" t="s">
        <v>1938</v>
      </c>
      <c r="B554" s="594"/>
      <c r="C554" s="818" t="s">
        <v>1885</v>
      </c>
      <c r="D554" s="821" t="s">
        <v>2374</v>
      </c>
      <c r="E554" s="822" t="s">
        <v>2375</v>
      </c>
      <c r="F554" s="601"/>
      <c r="G554" s="601">
        <v>12</v>
      </c>
      <c r="H554" s="822">
        <v>12</v>
      </c>
      <c r="I554" s="822" t="s">
        <v>632</v>
      </c>
      <c r="J554" s="822" t="s">
        <v>2376</v>
      </c>
      <c r="K554" s="822"/>
      <c r="L554" s="822"/>
      <c r="M554" s="602">
        <v>1</v>
      </c>
      <c r="N554" s="602">
        <v>1</v>
      </c>
      <c r="O554" s="602">
        <v>1</v>
      </c>
      <c r="P554" s="823"/>
      <c r="Q554" s="823"/>
      <c r="R554" s="823"/>
      <c r="S554" s="823"/>
      <c r="T554" s="603">
        <v>0</v>
      </c>
      <c r="U554" s="600"/>
      <c r="V554" s="603" t="s">
        <v>2377</v>
      </c>
      <c r="W554" s="600"/>
      <c r="X554" s="604" t="s">
        <v>848</v>
      </c>
      <c r="Y554" s="594"/>
      <c r="Z554" s="594"/>
      <c r="AA554" s="594"/>
      <c r="AB554" s="594"/>
      <c r="AC554" s="594"/>
      <c r="AD554" s="594"/>
    </row>
    <row r="555" spans="1:30" ht="14.25" customHeight="1">
      <c r="A555" s="818" t="s">
        <v>1938</v>
      </c>
      <c r="B555" s="594"/>
      <c r="C555" s="818" t="s">
        <v>1885</v>
      </c>
      <c r="D555" s="821" t="s">
        <v>1001</v>
      </c>
      <c r="E555" s="822"/>
      <c r="F555" s="822"/>
      <c r="G555" s="822"/>
      <c r="H555" s="822"/>
      <c r="I555" s="822" t="s">
        <v>632</v>
      </c>
      <c r="J555" s="822" t="s">
        <v>2378</v>
      </c>
      <c r="K555" s="822"/>
      <c r="L555" s="822"/>
      <c r="M555" s="602">
        <v>1</v>
      </c>
      <c r="N555" s="602">
        <v>1</v>
      </c>
      <c r="O555" s="602">
        <v>1</v>
      </c>
      <c r="P555" s="823"/>
      <c r="Q555" s="823"/>
      <c r="R555" s="823"/>
      <c r="S555" s="823"/>
      <c r="T555" s="603">
        <v>0</v>
      </c>
      <c r="U555" s="600"/>
      <c r="V555" s="603" t="s">
        <v>2379</v>
      </c>
      <c r="W555" s="600"/>
      <c r="X555" s="820" t="s">
        <v>875</v>
      </c>
      <c r="Y555" s="594"/>
      <c r="Z555" s="594"/>
      <c r="AA555" s="594"/>
      <c r="AB555" s="594"/>
      <c r="AC555" s="594"/>
      <c r="AD555" s="594"/>
    </row>
    <row r="556" spans="1:30" ht="14.25" customHeight="1">
      <c r="A556" s="818" t="s">
        <v>1938</v>
      </c>
      <c r="B556" s="594"/>
      <c r="C556" s="818" t="s">
        <v>1885</v>
      </c>
      <c r="D556" s="821" t="s">
        <v>962</v>
      </c>
      <c r="E556" s="824"/>
      <c r="F556" s="824"/>
      <c r="G556" s="824"/>
      <c r="H556" s="824"/>
      <c r="I556" s="822" t="s">
        <v>632</v>
      </c>
      <c r="J556" s="822" t="s">
        <v>2380</v>
      </c>
      <c r="K556" s="822"/>
      <c r="L556" s="822"/>
      <c r="M556" s="602">
        <v>1</v>
      </c>
      <c r="N556" s="602">
        <v>1</v>
      </c>
      <c r="O556" s="602">
        <v>1</v>
      </c>
      <c r="P556" s="823"/>
      <c r="Q556" s="823"/>
      <c r="R556" s="823"/>
      <c r="S556" s="823"/>
      <c r="T556" s="603">
        <v>0</v>
      </c>
      <c r="U556" s="600"/>
      <c r="V556" s="603" t="s">
        <v>2381</v>
      </c>
      <c r="W556" s="600"/>
      <c r="X556" s="820" t="s">
        <v>881</v>
      </c>
      <c r="Y556" s="594"/>
      <c r="Z556" s="594"/>
      <c r="AA556" s="594"/>
      <c r="AB556" s="594"/>
      <c r="AC556" s="594"/>
      <c r="AD556" s="594"/>
    </row>
    <row r="557" spans="1:30" ht="14.25" customHeight="1">
      <c r="A557" s="818"/>
      <c r="B557" s="594"/>
      <c r="C557" s="818"/>
      <c r="D557" s="825" t="s">
        <v>1047</v>
      </c>
      <c r="E557" s="822"/>
      <c r="F557" s="822"/>
      <c r="G557" s="822"/>
      <c r="H557" s="822"/>
      <c r="I557" s="826" t="s">
        <v>632</v>
      </c>
      <c r="J557" s="827">
        <v>2065511</v>
      </c>
      <c r="K557" s="826"/>
      <c r="L557" s="826"/>
      <c r="M557" s="602">
        <v>1</v>
      </c>
      <c r="N557" s="602">
        <v>1</v>
      </c>
      <c r="O557" s="602">
        <v>1</v>
      </c>
      <c r="P557" s="600"/>
      <c r="Q557" s="600"/>
      <c r="R557" s="600"/>
      <c r="S557" s="600"/>
      <c r="T557" s="603">
        <v>0</v>
      </c>
      <c r="U557" s="600"/>
      <c r="V557" s="603" t="s">
        <v>2382</v>
      </c>
      <c r="W557" s="602"/>
      <c r="X557" s="820"/>
      <c r="Y557" s="594"/>
      <c r="Z557" s="594"/>
      <c r="AA557" s="594"/>
      <c r="AB557" s="594"/>
      <c r="AC557" s="594"/>
      <c r="AD557" s="594"/>
    </row>
    <row r="558" spans="1:30" ht="14.25" customHeight="1">
      <c r="A558" s="818"/>
      <c r="B558" s="594"/>
      <c r="C558" s="818"/>
      <c r="D558" s="600"/>
      <c r="E558" s="600"/>
      <c r="F558" s="600"/>
      <c r="G558" s="600"/>
      <c r="H558" s="600"/>
      <c r="I558" s="602"/>
      <c r="J558" s="602" t="s">
        <v>2383</v>
      </c>
      <c r="K558" s="602"/>
      <c r="L558" s="602"/>
      <c r="M558" s="600"/>
      <c r="N558" s="600"/>
      <c r="O558" s="600"/>
      <c r="P558" s="600"/>
      <c r="Q558" s="600"/>
      <c r="R558" s="600"/>
      <c r="S558" s="600"/>
      <c r="T558" s="600"/>
      <c r="U558" s="600"/>
      <c r="V558" s="600"/>
      <c r="W558" s="600"/>
      <c r="X558" s="820"/>
      <c r="Y558" s="594"/>
      <c r="Z558" s="594"/>
      <c r="AA558" s="594"/>
      <c r="AB558" s="594"/>
      <c r="AC558" s="594"/>
      <c r="AD558" s="594"/>
    </row>
    <row r="559" spans="1:30" ht="14.25" customHeight="1">
      <c r="A559" s="818"/>
      <c r="B559" s="594"/>
      <c r="C559" s="818"/>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row>
    <row r="560" spans="1:30" ht="14.25" customHeight="1">
      <c r="A560" s="818"/>
      <c r="B560" s="594"/>
      <c r="C560" s="818"/>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row>
    <row r="561" spans="1:30" ht="14.25" customHeight="1">
      <c r="A561" s="818" t="s">
        <v>1933</v>
      </c>
      <c r="B561" s="594"/>
      <c r="C561" s="818" t="s">
        <v>1885</v>
      </c>
      <c r="D561" s="595" t="s">
        <v>2384</v>
      </c>
      <c r="E561" s="596"/>
      <c r="F561" s="596"/>
      <c r="G561" s="596"/>
      <c r="H561" s="596"/>
      <c r="I561" s="596"/>
      <c r="J561" s="596"/>
      <c r="K561" s="819"/>
      <c r="L561" s="819"/>
      <c r="M561" s="819"/>
      <c r="N561" s="819"/>
      <c r="O561" s="819"/>
      <c r="P561" s="819"/>
      <c r="Q561" s="819"/>
      <c r="R561" s="819"/>
      <c r="S561" s="819"/>
      <c r="T561" s="819"/>
      <c r="U561" s="819"/>
      <c r="V561" s="819"/>
      <c r="W561" s="819"/>
      <c r="X561" s="819"/>
      <c r="Y561" s="819"/>
      <c r="Z561" s="594"/>
      <c r="AA561" s="594"/>
      <c r="AB561" s="594"/>
      <c r="AC561" s="594"/>
      <c r="AD561" s="594"/>
    </row>
    <row r="562" spans="1:30" ht="14.25" customHeight="1">
      <c r="A562" s="818" t="s">
        <v>1933</v>
      </c>
      <c r="B562" s="594"/>
      <c r="C562" s="818" t="s">
        <v>1885</v>
      </c>
      <c r="D562" s="597" t="s">
        <v>1304</v>
      </c>
      <c r="E562" s="598" t="s">
        <v>1388</v>
      </c>
      <c r="F562" s="598" t="s">
        <v>1307</v>
      </c>
      <c r="G562" s="598" t="s">
        <v>1308</v>
      </c>
      <c r="H562" s="598" t="s">
        <v>1309</v>
      </c>
      <c r="I562" s="598" t="s">
        <v>972</v>
      </c>
      <c r="J562" s="598" t="s">
        <v>973</v>
      </c>
      <c r="K562" s="599" t="s">
        <v>974</v>
      </c>
      <c r="L562" s="599"/>
      <c r="M562" s="600"/>
      <c r="N562" s="600"/>
      <c r="O562" s="600"/>
      <c r="P562" s="600"/>
      <c r="Q562" s="600"/>
      <c r="R562" s="600"/>
      <c r="S562" s="600"/>
      <c r="T562" s="600"/>
      <c r="U562" s="600"/>
      <c r="V562" s="600"/>
      <c r="W562" s="600"/>
      <c r="X562" s="820"/>
      <c r="Y562" s="600"/>
      <c r="Z562" s="594"/>
      <c r="AA562" s="594"/>
      <c r="AB562" s="594"/>
      <c r="AC562" s="594"/>
      <c r="AD562" s="594"/>
    </row>
    <row r="563" spans="1:30" ht="14.25" customHeight="1">
      <c r="A563" s="818" t="s">
        <v>1933</v>
      </c>
      <c r="B563" s="594"/>
      <c r="C563" s="818" t="s">
        <v>1885</v>
      </c>
      <c r="D563" s="821" t="s">
        <v>2385</v>
      </c>
      <c r="E563" s="822" t="s">
        <v>2386</v>
      </c>
      <c r="F563" s="601"/>
      <c r="G563" s="601">
        <v>12</v>
      </c>
      <c r="H563" s="822">
        <v>12</v>
      </c>
      <c r="I563" s="822" t="s">
        <v>632</v>
      </c>
      <c r="J563" s="822" t="s">
        <v>2387</v>
      </c>
      <c r="K563" s="822"/>
      <c r="L563" s="822"/>
      <c r="M563" s="602">
        <v>1</v>
      </c>
      <c r="N563" s="602">
        <v>1</v>
      </c>
      <c r="O563" s="602">
        <v>1</v>
      </c>
      <c r="P563" s="823"/>
      <c r="Q563" s="823"/>
      <c r="R563" s="823"/>
      <c r="S563" s="823"/>
      <c r="T563" s="603">
        <v>0</v>
      </c>
      <c r="U563" s="600"/>
      <c r="V563" s="603" t="s">
        <v>2388</v>
      </c>
      <c r="W563" s="600"/>
      <c r="X563" s="820" t="s">
        <v>881</v>
      </c>
      <c r="Y563" s="600"/>
      <c r="Z563" s="594"/>
      <c r="AA563" s="594"/>
      <c r="AB563" s="594"/>
      <c r="AC563" s="594"/>
      <c r="AD563" s="594"/>
    </row>
    <row r="564" spans="1:30" ht="14.25" customHeight="1">
      <c r="A564" s="818" t="s">
        <v>1933</v>
      </c>
      <c r="B564" s="594"/>
      <c r="C564" s="818" t="s">
        <v>1885</v>
      </c>
      <c r="D564" s="821" t="s">
        <v>2389</v>
      </c>
      <c r="E564" s="822" t="s">
        <v>2390</v>
      </c>
      <c r="F564" s="601"/>
      <c r="G564" s="601">
        <v>12</v>
      </c>
      <c r="H564" s="822">
        <v>12</v>
      </c>
      <c r="I564" s="822" t="s">
        <v>632</v>
      </c>
      <c r="J564" s="822" t="s">
        <v>2391</v>
      </c>
      <c r="K564" s="822"/>
      <c r="L564" s="822"/>
      <c r="M564" s="602">
        <v>1</v>
      </c>
      <c r="N564" s="602">
        <v>1</v>
      </c>
      <c r="O564" s="602">
        <v>1</v>
      </c>
      <c r="P564" s="823"/>
      <c r="Q564" s="823"/>
      <c r="R564" s="823"/>
      <c r="S564" s="823"/>
      <c r="T564" s="603">
        <v>0</v>
      </c>
      <c r="U564" s="600"/>
      <c r="V564" s="603" t="s">
        <v>2392</v>
      </c>
      <c r="W564" s="600"/>
      <c r="X564" s="820" t="s">
        <v>977</v>
      </c>
      <c r="Y564" s="600"/>
      <c r="Z564" s="594"/>
      <c r="AA564" s="594"/>
      <c r="AB564" s="594"/>
      <c r="AC564" s="594"/>
      <c r="AD564" s="594"/>
    </row>
    <row r="565" spans="1:30" ht="14.25" customHeight="1">
      <c r="A565" s="818" t="s">
        <v>1933</v>
      </c>
      <c r="B565" s="594"/>
      <c r="C565" s="818" t="s">
        <v>1885</v>
      </c>
      <c r="D565" s="821" t="s">
        <v>2393</v>
      </c>
      <c r="E565" s="822" t="s">
        <v>2394</v>
      </c>
      <c r="F565" s="601"/>
      <c r="G565" s="601">
        <v>12</v>
      </c>
      <c r="H565" s="822">
        <v>12</v>
      </c>
      <c r="I565" s="822" t="s">
        <v>632</v>
      </c>
      <c r="J565" s="822" t="s">
        <v>2395</v>
      </c>
      <c r="K565" s="822"/>
      <c r="L565" s="822"/>
      <c r="M565" s="602"/>
      <c r="N565" s="602"/>
      <c r="O565" s="602"/>
      <c r="P565" s="823"/>
      <c r="Q565" s="823"/>
      <c r="R565" s="823"/>
      <c r="S565" s="823"/>
      <c r="T565" s="600"/>
      <c r="U565" s="600"/>
      <c r="V565" s="603" t="s">
        <v>2396</v>
      </c>
      <c r="W565" s="600"/>
      <c r="X565" s="820" t="s">
        <v>977</v>
      </c>
      <c r="Y565" s="600"/>
      <c r="Z565" s="594"/>
      <c r="AA565" s="594"/>
      <c r="AB565" s="594"/>
      <c r="AC565" s="594"/>
      <c r="AD565" s="594"/>
    </row>
    <row r="566" spans="1:30" ht="14.25" customHeight="1">
      <c r="A566" s="818" t="s">
        <v>1933</v>
      </c>
      <c r="B566" s="594"/>
      <c r="C566" s="818" t="s">
        <v>1885</v>
      </c>
      <c r="D566" s="821" t="s">
        <v>2397</v>
      </c>
      <c r="E566" s="822" t="s">
        <v>2398</v>
      </c>
      <c r="F566" s="601"/>
      <c r="G566" s="601">
        <v>12</v>
      </c>
      <c r="H566" s="822">
        <v>12</v>
      </c>
      <c r="I566" s="822" t="s">
        <v>632</v>
      </c>
      <c r="J566" s="822" t="s">
        <v>2399</v>
      </c>
      <c r="K566" s="822"/>
      <c r="L566" s="822"/>
      <c r="M566" s="602"/>
      <c r="N566" s="602"/>
      <c r="O566" s="602"/>
      <c r="P566" s="823"/>
      <c r="Q566" s="823"/>
      <c r="R566" s="823"/>
      <c r="S566" s="823"/>
      <c r="T566" s="600"/>
      <c r="U566" s="600"/>
      <c r="V566" s="603" t="s">
        <v>2400</v>
      </c>
      <c r="W566" s="600"/>
      <c r="X566" s="820" t="s">
        <v>989</v>
      </c>
      <c r="Y566" s="600"/>
      <c r="Z566" s="594"/>
      <c r="AA566" s="594"/>
      <c r="AB566" s="594"/>
      <c r="AC566" s="594"/>
      <c r="AD566" s="594"/>
    </row>
    <row r="567" spans="1:30" ht="14.25" customHeight="1">
      <c r="A567" s="818" t="s">
        <v>1933</v>
      </c>
      <c r="B567" s="594"/>
      <c r="C567" s="818" t="s">
        <v>1885</v>
      </c>
      <c r="D567" s="821" t="s">
        <v>2401</v>
      </c>
      <c r="E567" s="822" t="s">
        <v>2402</v>
      </c>
      <c r="F567" s="601"/>
      <c r="G567" s="601">
        <v>12</v>
      </c>
      <c r="H567" s="822">
        <v>12</v>
      </c>
      <c r="I567" s="822" t="s">
        <v>632</v>
      </c>
      <c r="J567" s="822" t="s">
        <v>2403</v>
      </c>
      <c r="K567" s="822"/>
      <c r="L567" s="822"/>
      <c r="M567" s="602"/>
      <c r="N567" s="602"/>
      <c r="O567" s="602"/>
      <c r="P567" s="823"/>
      <c r="Q567" s="823"/>
      <c r="R567" s="823"/>
      <c r="S567" s="823"/>
      <c r="T567" s="600"/>
      <c r="U567" s="600"/>
      <c r="V567" s="603" t="s">
        <v>2404</v>
      </c>
      <c r="W567" s="600"/>
      <c r="X567" s="820" t="s">
        <v>977</v>
      </c>
      <c r="Y567" s="600"/>
      <c r="Z567" s="594"/>
      <c r="AA567" s="594"/>
      <c r="AB567" s="594"/>
      <c r="AC567" s="594"/>
      <c r="AD567" s="594"/>
    </row>
    <row r="568" spans="1:30" ht="14.25" customHeight="1">
      <c r="A568" s="818" t="s">
        <v>1933</v>
      </c>
      <c r="B568" s="594"/>
      <c r="C568" s="818" t="s">
        <v>1885</v>
      </c>
      <c r="D568" s="821" t="s">
        <v>2405</v>
      </c>
      <c r="E568" s="822" t="s">
        <v>2372</v>
      </c>
      <c r="F568" s="601"/>
      <c r="G568" s="601">
        <v>12</v>
      </c>
      <c r="H568" s="822">
        <v>12</v>
      </c>
      <c r="I568" s="822" t="s">
        <v>632</v>
      </c>
      <c r="J568" s="822" t="s">
        <v>2406</v>
      </c>
      <c r="K568" s="822"/>
      <c r="L568" s="822"/>
      <c r="M568" s="602"/>
      <c r="N568" s="602"/>
      <c r="O568" s="602"/>
      <c r="P568" s="823"/>
      <c r="Q568" s="823"/>
      <c r="R568" s="823"/>
      <c r="S568" s="823"/>
      <c r="T568" s="600"/>
      <c r="U568" s="600"/>
      <c r="V568" s="603">
        <v>514</v>
      </c>
      <c r="W568" s="600"/>
      <c r="X568" s="820" t="s">
        <v>977</v>
      </c>
      <c r="Y568" s="600"/>
      <c r="Z568" s="594"/>
      <c r="AA568" s="594"/>
      <c r="AB568" s="594"/>
      <c r="AC568" s="594"/>
      <c r="AD568" s="594"/>
    </row>
    <row r="569" spans="1:30" ht="14.25" customHeight="1">
      <c r="A569" s="818" t="s">
        <v>1933</v>
      </c>
      <c r="B569" s="594"/>
      <c r="C569" s="818" t="s">
        <v>1885</v>
      </c>
      <c r="D569" s="821" t="s">
        <v>2407</v>
      </c>
      <c r="E569" s="822" t="s">
        <v>2408</v>
      </c>
      <c r="F569" s="601"/>
      <c r="G569" s="601">
        <v>1</v>
      </c>
      <c r="H569" s="822">
        <v>12</v>
      </c>
      <c r="I569" s="822" t="s">
        <v>632</v>
      </c>
      <c r="J569" s="822" t="s">
        <v>2408</v>
      </c>
      <c r="K569" s="822"/>
      <c r="L569" s="822"/>
      <c r="M569" s="602">
        <v>1</v>
      </c>
      <c r="N569" s="602">
        <v>1</v>
      </c>
      <c r="O569" s="602">
        <v>1</v>
      </c>
      <c r="P569" s="823"/>
      <c r="Q569" s="823"/>
      <c r="R569" s="823"/>
      <c r="S569" s="823"/>
      <c r="T569" s="603">
        <v>0</v>
      </c>
      <c r="U569" s="600"/>
      <c r="V569" s="603" t="s">
        <v>2409</v>
      </c>
      <c r="W569" s="600"/>
      <c r="X569" s="820" t="s">
        <v>950</v>
      </c>
      <c r="Y569" s="594"/>
      <c r="Z569" s="594"/>
      <c r="AA569" s="594"/>
      <c r="AB569" s="594"/>
      <c r="AC569" s="594"/>
      <c r="AD569" s="594"/>
    </row>
    <row r="570" spans="1:30" ht="14.25" customHeight="1">
      <c r="A570" s="818" t="s">
        <v>1933</v>
      </c>
      <c r="B570" s="594"/>
      <c r="C570" s="818" t="s">
        <v>1885</v>
      </c>
      <c r="D570" s="821" t="s">
        <v>1001</v>
      </c>
      <c r="E570" s="822"/>
      <c r="F570" s="822"/>
      <c r="G570" s="822"/>
      <c r="H570" s="822"/>
      <c r="I570" s="822" t="s">
        <v>632</v>
      </c>
      <c r="J570" s="822" t="s">
        <v>2410</v>
      </c>
      <c r="K570" s="822"/>
      <c r="L570" s="822"/>
      <c r="M570" s="602">
        <v>1</v>
      </c>
      <c r="N570" s="602">
        <v>1</v>
      </c>
      <c r="O570" s="602">
        <v>1</v>
      </c>
      <c r="P570" s="823"/>
      <c r="Q570" s="823"/>
      <c r="R570" s="823"/>
      <c r="S570" s="823"/>
      <c r="T570" s="603">
        <v>0</v>
      </c>
      <c r="U570" s="600"/>
      <c r="V570" s="603" t="s">
        <v>2411</v>
      </c>
      <c r="W570" s="600"/>
      <c r="X570" s="820" t="s">
        <v>875</v>
      </c>
      <c r="Y570" s="594"/>
      <c r="Z570" s="594"/>
      <c r="AA570" s="594"/>
      <c r="AB570" s="594"/>
      <c r="AC570" s="594"/>
      <c r="AD570" s="594"/>
    </row>
    <row r="571" spans="1:30" ht="14.25" customHeight="1">
      <c r="A571" s="818" t="s">
        <v>1933</v>
      </c>
      <c r="B571" s="594"/>
      <c r="C571" s="818" t="s">
        <v>1885</v>
      </c>
      <c r="D571" s="821" t="s">
        <v>962</v>
      </c>
      <c r="E571" s="824"/>
      <c r="F571" s="824"/>
      <c r="G571" s="824"/>
      <c r="H571" s="824"/>
      <c r="I571" s="822" t="s">
        <v>632</v>
      </c>
      <c r="J571" s="822" t="s">
        <v>2412</v>
      </c>
      <c r="K571" s="822"/>
      <c r="L571" s="822"/>
      <c r="M571" s="602">
        <v>1</v>
      </c>
      <c r="N571" s="602">
        <v>1</v>
      </c>
      <c r="O571" s="602">
        <v>1</v>
      </c>
      <c r="P571" s="823"/>
      <c r="Q571" s="823"/>
      <c r="R571" s="823"/>
      <c r="S571" s="823"/>
      <c r="T571" s="603">
        <v>0</v>
      </c>
      <c r="U571" s="600"/>
      <c r="V571" s="603" t="s">
        <v>2413</v>
      </c>
      <c r="W571" s="600"/>
      <c r="X571" s="820" t="s">
        <v>881</v>
      </c>
      <c r="Y571" s="594"/>
      <c r="Z571" s="594"/>
      <c r="AA571" s="594"/>
      <c r="AB571" s="594"/>
      <c r="AC571" s="594"/>
      <c r="AD571" s="594"/>
    </row>
    <row r="572" spans="1:30" ht="14.25" customHeight="1">
      <c r="A572" s="818" t="s">
        <v>1933</v>
      </c>
      <c r="B572" s="594"/>
      <c r="C572" s="818" t="s">
        <v>1885</v>
      </c>
      <c r="D572" s="825" t="s">
        <v>1047</v>
      </c>
      <c r="E572" s="822"/>
      <c r="F572" s="822"/>
      <c r="G572" s="822"/>
      <c r="H572" s="822"/>
      <c r="I572" s="826" t="s">
        <v>632</v>
      </c>
      <c r="J572" s="827">
        <v>983835</v>
      </c>
      <c r="K572" s="826"/>
      <c r="L572" s="826"/>
      <c r="M572" s="602">
        <v>1</v>
      </c>
      <c r="N572" s="602">
        <v>1</v>
      </c>
      <c r="O572" s="602">
        <v>1</v>
      </c>
      <c r="P572" s="600"/>
      <c r="Q572" s="600"/>
      <c r="R572" s="600"/>
      <c r="S572" s="600"/>
      <c r="T572" s="603">
        <v>0</v>
      </c>
      <c r="U572" s="600"/>
      <c r="V572" s="603" t="s">
        <v>2414</v>
      </c>
      <c r="W572" s="602"/>
      <c r="X572" s="820"/>
      <c r="Y572" s="594"/>
      <c r="Z572" s="594"/>
      <c r="AA572" s="594"/>
      <c r="AB572" s="594"/>
      <c r="AC572" s="594"/>
      <c r="AD572" s="594"/>
    </row>
    <row r="573" spans="1:30" ht="14.25" customHeight="1">
      <c r="A573" s="768"/>
      <c r="B573" s="4"/>
      <c r="C573" s="768"/>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4.25" customHeight="1">
      <c r="A574" s="768"/>
      <c r="B574" s="4"/>
      <c r="C574" s="768"/>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4.25" customHeight="1">
      <c r="A575" s="768"/>
      <c r="B575" s="4"/>
      <c r="C575" s="768"/>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4.25" customHeight="1">
      <c r="A576" s="768"/>
      <c r="B576" s="4"/>
      <c r="C576" s="768"/>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4.25" customHeight="1">
      <c r="A577" s="768"/>
      <c r="B577" s="4"/>
      <c r="C577" s="768"/>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4.25" customHeight="1">
      <c r="A578" s="768"/>
      <c r="B578" s="4"/>
      <c r="C578" s="768"/>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4.25" customHeight="1">
      <c r="A579" s="768"/>
      <c r="B579" s="4"/>
      <c r="C579" s="768"/>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4.25" customHeight="1">
      <c r="A580" s="768"/>
      <c r="B580" s="4"/>
      <c r="C580" s="768"/>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4.25" customHeight="1">
      <c r="A581" s="768"/>
      <c r="B581" s="4"/>
      <c r="C581" s="768"/>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4.25" customHeight="1">
      <c r="A582" s="768"/>
      <c r="B582" s="4"/>
      <c r="C582" s="768"/>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4.25" customHeight="1">
      <c r="A583" s="768"/>
      <c r="B583" s="4"/>
      <c r="C583" s="768"/>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4.25" customHeight="1">
      <c r="A584" s="768"/>
      <c r="B584" s="4"/>
      <c r="C584" s="768"/>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4.25" customHeight="1">
      <c r="A585" s="768"/>
      <c r="B585" s="4"/>
      <c r="C585" s="768"/>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4.25" customHeight="1">
      <c r="A586" s="768"/>
      <c r="B586" s="4"/>
      <c r="C586" s="768"/>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4.25" customHeight="1">
      <c r="A587" s="768"/>
      <c r="B587" s="4"/>
      <c r="C587" s="768"/>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4.25" customHeight="1">
      <c r="A588" s="768"/>
      <c r="B588" s="4"/>
      <c r="C588" s="768"/>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4.25" customHeight="1">
      <c r="A589" s="768"/>
      <c r="B589" s="4"/>
      <c r="C589" s="768"/>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4.25" customHeight="1">
      <c r="A590" s="768"/>
      <c r="B590" s="4"/>
      <c r="C590" s="768"/>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4.25" customHeight="1">
      <c r="A591" s="768"/>
      <c r="B591" s="4"/>
      <c r="C591" s="768"/>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4.25" customHeight="1">
      <c r="A592" s="768"/>
      <c r="B592" s="4"/>
      <c r="C592" s="768"/>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4.25" customHeight="1">
      <c r="A593" s="768"/>
      <c r="B593" s="4"/>
      <c r="C593" s="768"/>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4.25" customHeight="1">
      <c r="A594" s="768"/>
      <c r="B594" s="4"/>
      <c r="C594" s="768"/>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4.25" customHeight="1">
      <c r="A595" s="768"/>
      <c r="B595" s="4"/>
      <c r="C595" s="768"/>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4.25" customHeight="1">
      <c r="A596" s="768"/>
      <c r="B596" s="4"/>
      <c r="C596" s="768"/>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4.25" customHeight="1">
      <c r="A597" s="768"/>
      <c r="B597" s="4"/>
      <c r="C597" s="768"/>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4.25" customHeight="1">
      <c r="A598" s="768"/>
      <c r="B598" s="4"/>
      <c r="C598" s="768"/>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4.25" customHeight="1">
      <c r="A599" s="768"/>
      <c r="B599" s="4"/>
      <c r="C599" s="768"/>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4.25" customHeight="1">
      <c r="A600" s="768"/>
      <c r="B600" s="4"/>
      <c r="C600" s="768"/>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4.25" customHeight="1">
      <c r="A601" s="768"/>
      <c r="B601" s="4"/>
      <c r="C601" s="768"/>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4.25" customHeight="1">
      <c r="A602" s="768"/>
      <c r="B602" s="4"/>
      <c r="C602" s="768"/>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4.25" customHeight="1">
      <c r="A603" s="768"/>
      <c r="B603" s="4"/>
      <c r="C603" s="768"/>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4.25" customHeight="1">
      <c r="A604" s="768"/>
      <c r="B604" s="4"/>
      <c r="C604" s="768"/>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4.25" customHeight="1">
      <c r="A605" s="768"/>
      <c r="B605" s="4"/>
      <c r="C605" s="768"/>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4.25" customHeight="1">
      <c r="A606" s="768"/>
      <c r="B606" s="4"/>
      <c r="C606" s="768"/>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4.25" customHeight="1">
      <c r="A607" s="768"/>
      <c r="B607" s="4"/>
      <c r="C607" s="768"/>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4.25" customHeight="1">
      <c r="A608" s="768"/>
      <c r="B608" s="4"/>
      <c r="C608" s="768"/>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4.25" customHeight="1">
      <c r="A609" s="768"/>
      <c r="B609" s="4"/>
      <c r="C609" s="768"/>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4.25" customHeight="1">
      <c r="A610" s="768"/>
      <c r="B610" s="4"/>
      <c r="C610" s="768"/>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4.25" customHeight="1">
      <c r="A611" s="768"/>
      <c r="B611" s="4"/>
      <c r="C611" s="768"/>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4.25" customHeight="1">
      <c r="A612" s="768"/>
      <c r="B612" s="4"/>
      <c r="C612" s="768"/>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4.25" customHeight="1">
      <c r="A613" s="768"/>
      <c r="B613" s="4"/>
      <c r="C613" s="768"/>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4.25" customHeight="1">
      <c r="A614" s="768"/>
      <c r="B614" s="4"/>
      <c r="C614" s="768"/>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4.25" customHeight="1">
      <c r="A615" s="768"/>
      <c r="B615" s="4"/>
      <c r="C615" s="768"/>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4.25" customHeight="1">
      <c r="A616" s="768"/>
      <c r="B616" s="4"/>
      <c r="C616" s="768"/>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4.25" customHeight="1">
      <c r="A617" s="768"/>
      <c r="B617" s="4"/>
      <c r="C617" s="768"/>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4.25" customHeight="1">
      <c r="A618" s="768"/>
      <c r="B618" s="4"/>
      <c r="C618" s="768"/>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4.25" customHeight="1">
      <c r="A619" s="768"/>
      <c r="B619" s="4"/>
      <c r="C619" s="768"/>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4.25" customHeight="1">
      <c r="A620" s="768"/>
      <c r="B620" s="4"/>
      <c r="C620" s="768"/>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4.25" customHeight="1">
      <c r="A621" s="768"/>
      <c r="B621" s="4"/>
      <c r="C621" s="768"/>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4.25" customHeight="1">
      <c r="A622" s="768"/>
      <c r="B622" s="4"/>
      <c r="C622" s="768"/>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4.25" customHeight="1">
      <c r="A623" s="768"/>
      <c r="B623" s="4"/>
      <c r="C623" s="768"/>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4.25" customHeight="1">
      <c r="A624" s="768"/>
      <c r="B624" s="4"/>
      <c r="C624" s="768"/>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4.25" customHeight="1">
      <c r="A625" s="768"/>
      <c r="B625" s="4"/>
      <c r="C625" s="768"/>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4.25" customHeight="1">
      <c r="A626" s="768"/>
      <c r="B626" s="4"/>
      <c r="C626" s="768"/>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4.25" customHeight="1">
      <c r="A627" s="768"/>
      <c r="B627" s="4"/>
      <c r="C627" s="768"/>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4.25" customHeight="1">
      <c r="A628" s="768"/>
      <c r="B628" s="4"/>
      <c r="C628" s="768"/>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4.25" customHeight="1">
      <c r="A629" s="768"/>
      <c r="B629" s="4"/>
      <c r="C629" s="768"/>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4.25" customHeight="1">
      <c r="A630" s="768"/>
      <c r="B630" s="4"/>
      <c r="C630" s="768"/>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4.25" customHeight="1">
      <c r="A631" s="768"/>
      <c r="B631" s="4"/>
      <c r="C631" s="768"/>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4.25" customHeight="1">
      <c r="A632" s="768"/>
      <c r="B632" s="4"/>
      <c r="C632" s="768"/>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4.25" customHeight="1">
      <c r="A633" s="768"/>
      <c r="B633" s="4"/>
      <c r="C633" s="768"/>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4.25" customHeight="1">
      <c r="A634" s="768"/>
      <c r="B634" s="4"/>
      <c r="C634" s="768"/>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4.25" customHeight="1">
      <c r="A635" s="768"/>
      <c r="B635" s="4"/>
      <c r="C635" s="768"/>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4.25" customHeight="1">
      <c r="A636" s="768"/>
      <c r="B636" s="4"/>
      <c r="C636" s="768"/>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4.25" customHeight="1">
      <c r="A637" s="768"/>
      <c r="B637" s="4"/>
      <c r="C637" s="768"/>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4.25" customHeight="1">
      <c r="A638" s="768"/>
      <c r="B638" s="4"/>
      <c r="C638" s="768"/>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4.25" customHeight="1">
      <c r="A639" s="768"/>
      <c r="B639" s="4"/>
      <c r="C639" s="768"/>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4.25" customHeight="1">
      <c r="A640" s="768"/>
      <c r="B640" s="4"/>
      <c r="C640" s="768"/>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4.25" customHeight="1">
      <c r="A641" s="768"/>
      <c r="B641" s="4"/>
      <c r="C641" s="768"/>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4.25" customHeight="1">
      <c r="A642" s="768"/>
      <c r="B642" s="4"/>
      <c r="C642" s="768"/>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4.25" customHeight="1">
      <c r="A643" s="768"/>
      <c r="B643" s="4"/>
      <c r="C643" s="768"/>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4.25" customHeight="1">
      <c r="A644" s="768"/>
      <c r="B644" s="4"/>
      <c r="C644" s="768"/>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4.25" customHeight="1">
      <c r="A645" s="768"/>
      <c r="B645" s="4"/>
      <c r="C645" s="768"/>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4.25" customHeight="1">
      <c r="A646" s="768"/>
      <c r="B646" s="4"/>
      <c r="C646" s="768"/>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4.25" customHeight="1">
      <c r="A647" s="768"/>
      <c r="B647" s="4"/>
      <c r="C647" s="768"/>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4.25" customHeight="1">
      <c r="A648" s="768"/>
      <c r="B648" s="4"/>
      <c r="C648" s="768"/>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4.25" customHeight="1">
      <c r="A649" s="768"/>
      <c r="B649" s="4"/>
      <c r="C649" s="768"/>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4.25" customHeight="1">
      <c r="A650" s="768"/>
      <c r="B650" s="4"/>
      <c r="C650" s="768"/>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4.25" customHeight="1">
      <c r="A651" s="768"/>
      <c r="B651" s="4"/>
      <c r="C651" s="768"/>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4.25" customHeight="1">
      <c r="A652" s="768"/>
      <c r="B652" s="4"/>
      <c r="C652" s="768"/>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4.25" customHeight="1">
      <c r="A653" s="768"/>
      <c r="B653" s="4"/>
      <c r="C653" s="768"/>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4.25" customHeight="1">
      <c r="A654" s="768"/>
      <c r="B654" s="4"/>
      <c r="C654" s="768"/>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4.25" customHeight="1">
      <c r="A655" s="768"/>
      <c r="B655" s="4"/>
      <c r="C655" s="768"/>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4.25" customHeight="1">
      <c r="A656" s="768"/>
      <c r="B656" s="4"/>
      <c r="C656" s="768"/>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4.25" customHeight="1">
      <c r="A657" s="768"/>
      <c r="B657" s="4"/>
      <c r="C657" s="768"/>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4.25" customHeight="1">
      <c r="A658" s="768"/>
      <c r="B658" s="4"/>
      <c r="C658" s="768"/>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4.25" customHeight="1">
      <c r="A659" s="768"/>
      <c r="B659" s="4"/>
      <c r="C659" s="768"/>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4.25" customHeight="1">
      <c r="A660" s="768"/>
      <c r="B660" s="4"/>
      <c r="C660" s="768"/>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4.25" customHeight="1">
      <c r="A661" s="768"/>
      <c r="B661" s="4"/>
      <c r="C661" s="768"/>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4.25" customHeight="1">
      <c r="A662" s="768"/>
      <c r="B662" s="4"/>
      <c r="C662" s="768"/>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4.25" customHeight="1">
      <c r="A663" s="768"/>
      <c r="B663" s="4"/>
      <c r="C663" s="768"/>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4.25" customHeight="1">
      <c r="A664" s="768"/>
      <c r="B664" s="4"/>
      <c r="C664" s="768"/>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4.25" customHeight="1">
      <c r="A665" s="768"/>
      <c r="B665" s="4"/>
      <c r="C665" s="768"/>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4.25" customHeight="1">
      <c r="A666" s="768"/>
      <c r="B666" s="4"/>
      <c r="C666" s="768"/>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4.25" customHeight="1">
      <c r="A667" s="768"/>
      <c r="B667" s="4"/>
      <c r="C667" s="768"/>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4.25" customHeight="1">
      <c r="A668" s="768"/>
      <c r="B668" s="4"/>
      <c r="C668" s="768"/>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4.25" customHeight="1">
      <c r="A669" s="768"/>
      <c r="B669" s="4"/>
      <c r="C669" s="768"/>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4.25" customHeight="1">
      <c r="A670" s="768"/>
      <c r="B670" s="4"/>
      <c r="C670" s="768"/>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4.25" customHeight="1">
      <c r="A671" s="768"/>
      <c r="B671" s="4"/>
      <c r="C671" s="768"/>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4.25" customHeight="1">
      <c r="A672" s="768"/>
      <c r="B672" s="4"/>
      <c r="C672" s="768"/>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4.25" customHeight="1">
      <c r="A673" s="768"/>
      <c r="B673" s="4"/>
      <c r="C673" s="768"/>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4.25" customHeight="1">
      <c r="A674" s="768"/>
      <c r="B674" s="4"/>
      <c r="C674" s="768"/>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4.25" customHeight="1">
      <c r="A675" s="768"/>
      <c r="B675" s="4"/>
      <c r="C675" s="768"/>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4.25" customHeight="1">
      <c r="A676" s="768"/>
      <c r="B676" s="4"/>
      <c r="C676" s="768"/>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4.25" customHeight="1">
      <c r="A677" s="768"/>
      <c r="B677" s="4"/>
      <c r="C677" s="768"/>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4.25" customHeight="1">
      <c r="A678" s="768"/>
      <c r="B678" s="4"/>
      <c r="C678" s="768"/>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4.25" customHeight="1">
      <c r="A679" s="768"/>
      <c r="B679" s="4"/>
      <c r="C679" s="768"/>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4.25" customHeight="1">
      <c r="A680" s="768"/>
      <c r="B680" s="4"/>
      <c r="C680" s="768"/>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4.25" customHeight="1">
      <c r="A681" s="768"/>
      <c r="B681" s="4"/>
      <c r="C681" s="768"/>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4.25" customHeight="1">
      <c r="A682" s="768"/>
      <c r="B682" s="4"/>
      <c r="C682" s="768"/>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4.25" customHeight="1">
      <c r="A683" s="768"/>
      <c r="B683" s="4"/>
      <c r="C683" s="768"/>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4.25" customHeight="1">
      <c r="A684" s="768"/>
      <c r="B684" s="4"/>
      <c r="C684" s="768"/>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4.25" customHeight="1">
      <c r="A685" s="768"/>
      <c r="B685" s="4"/>
      <c r="C685" s="768"/>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4.25" customHeight="1">
      <c r="A686" s="768"/>
      <c r="B686" s="4"/>
      <c r="C686" s="768"/>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4.25" customHeight="1">
      <c r="A687" s="768"/>
      <c r="B687" s="4"/>
      <c r="C687" s="768"/>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4.25" customHeight="1">
      <c r="A688" s="768"/>
      <c r="B688" s="4"/>
      <c r="C688" s="768"/>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4.25" customHeight="1">
      <c r="A689" s="768"/>
      <c r="B689" s="4"/>
      <c r="C689" s="768"/>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4.25" customHeight="1">
      <c r="A690" s="768"/>
      <c r="B690" s="4"/>
      <c r="C690" s="768"/>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4.25" customHeight="1">
      <c r="A691" s="768"/>
      <c r="B691" s="4"/>
      <c r="C691" s="768"/>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4.25" customHeight="1">
      <c r="A692" s="768"/>
      <c r="B692" s="4"/>
      <c r="C692" s="768"/>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4.25" customHeight="1">
      <c r="A693" s="768"/>
      <c r="B693" s="4"/>
      <c r="C693" s="768"/>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4.25" customHeight="1">
      <c r="A694" s="768"/>
      <c r="B694" s="4"/>
      <c r="C694" s="768"/>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4.25" customHeight="1">
      <c r="A695" s="768"/>
      <c r="B695" s="4"/>
      <c r="C695" s="768"/>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4.25" customHeight="1">
      <c r="A696" s="768"/>
      <c r="B696" s="4"/>
      <c r="C696" s="768"/>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4.25" customHeight="1">
      <c r="A697" s="768"/>
      <c r="B697" s="4"/>
      <c r="C697" s="768"/>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4.25" customHeight="1">
      <c r="A698" s="768"/>
      <c r="B698" s="4"/>
      <c r="C698" s="768"/>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4.25" customHeight="1">
      <c r="A699" s="768"/>
      <c r="B699" s="4"/>
      <c r="C699" s="768"/>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4.25" customHeight="1">
      <c r="A700" s="768"/>
      <c r="B700" s="4"/>
      <c r="C700" s="768"/>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4.25" customHeight="1">
      <c r="A701" s="768"/>
      <c r="B701" s="4"/>
      <c r="C701" s="768"/>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4.25" customHeight="1">
      <c r="A702" s="768"/>
      <c r="B702" s="4"/>
      <c r="C702" s="768"/>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4.25" customHeight="1">
      <c r="A703" s="768"/>
      <c r="B703" s="4"/>
      <c r="C703" s="768"/>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4.25" customHeight="1">
      <c r="A704" s="768"/>
      <c r="B704" s="4"/>
      <c r="C704" s="768"/>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4.25" customHeight="1">
      <c r="A705" s="768"/>
      <c r="B705" s="4"/>
      <c r="C705" s="768"/>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4.25" customHeight="1">
      <c r="A706" s="768"/>
      <c r="B706" s="4"/>
      <c r="C706" s="768"/>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4.25" customHeight="1">
      <c r="A707" s="768"/>
      <c r="B707" s="4"/>
      <c r="C707" s="768"/>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4.25" customHeight="1">
      <c r="A708" s="768"/>
      <c r="B708" s="4"/>
      <c r="C708" s="768"/>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4.25" customHeight="1">
      <c r="A709" s="768"/>
      <c r="B709" s="4"/>
      <c r="C709" s="768"/>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4.25" customHeight="1">
      <c r="A710" s="768"/>
      <c r="B710" s="4"/>
      <c r="C710" s="768"/>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4.25" customHeight="1">
      <c r="A711" s="768"/>
      <c r="B711" s="4"/>
      <c r="C711" s="768"/>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4.25" customHeight="1">
      <c r="A712" s="768"/>
      <c r="B712" s="4"/>
      <c r="C712" s="768"/>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4.25" customHeight="1">
      <c r="A713" s="768"/>
      <c r="B713" s="4"/>
      <c r="C713" s="768"/>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4.25" customHeight="1">
      <c r="A714" s="768"/>
      <c r="B714" s="4"/>
      <c r="C714" s="768"/>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4.25" customHeight="1">
      <c r="A715" s="768"/>
      <c r="B715" s="4"/>
      <c r="C715" s="768"/>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4.25" customHeight="1">
      <c r="A716" s="768"/>
      <c r="B716" s="4"/>
      <c r="C716" s="768"/>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4.25" customHeight="1">
      <c r="A717" s="768"/>
      <c r="B717" s="4"/>
      <c r="C717" s="768"/>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4.25" customHeight="1">
      <c r="A718" s="768"/>
      <c r="B718" s="4"/>
      <c r="C718" s="768"/>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4.25" customHeight="1">
      <c r="A719" s="768"/>
      <c r="B719" s="4"/>
      <c r="C719" s="768"/>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4.25" customHeight="1">
      <c r="A720" s="768"/>
      <c r="B720" s="4"/>
      <c r="C720" s="768"/>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4.25" customHeight="1">
      <c r="A721" s="768"/>
      <c r="B721" s="4"/>
      <c r="C721" s="768"/>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4.25" customHeight="1">
      <c r="A722" s="768"/>
      <c r="B722" s="4"/>
      <c r="C722" s="768"/>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4.25" customHeight="1">
      <c r="A723" s="768"/>
      <c r="B723" s="4"/>
      <c r="C723" s="768"/>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4.25" customHeight="1">
      <c r="A724" s="768"/>
      <c r="B724" s="4"/>
      <c r="C724" s="768"/>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4.25" customHeight="1">
      <c r="A725" s="768"/>
      <c r="B725" s="4"/>
      <c r="C725" s="768"/>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4.25" customHeight="1">
      <c r="A726" s="768"/>
      <c r="B726" s="4"/>
      <c r="C726" s="768"/>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4.25" customHeight="1">
      <c r="A727" s="768"/>
      <c r="B727" s="4"/>
      <c r="C727" s="768"/>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4.25" customHeight="1">
      <c r="A728" s="768"/>
      <c r="B728" s="4"/>
      <c r="C728" s="768"/>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4.25" customHeight="1">
      <c r="A729" s="768"/>
      <c r="B729" s="4"/>
      <c r="C729" s="768"/>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4.25" customHeight="1">
      <c r="A730" s="768"/>
      <c r="B730" s="4"/>
      <c r="C730" s="768"/>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4.25" customHeight="1">
      <c r="A731" s="768"/>
      <c r="B731" s="4"/>
      <c r="C731" s="768"/>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4.25" customHeight="1">
      <c r="A732" s="768"/>
      <c r="B732" s="4"/>
      <c r="C732" s="768"/>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4.25" customHeight="1">
      <c r="A733" s="768"/>
      <c r="B733" s="4"/>
      <c r="C733" s="768"/>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4.25" customHeight="1">
      <c r="A734" s="768"/>
      <c r="B734" s="4"/>
      <c r="C734" s="768"/>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4.25" customHeight="1">
      <c r="A735" s="768"/>
      <c r="B735" s="4"/>
      <c r="C735" s="768"/>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4.25" customHeight="1">
      <c r="A736" s="768"/>
      <c r="B736" s="4"/>
      <c r="C736" s="768"/>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4.25" customHeight="1">
      <c r="A737" s="768"/>
      <c r="B737" s="4"/>
      <c r="C737" s="768"/>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4.25" customHeight="1">
      <c r="A738" s="768"/>
      <c r="B738" s="4"/>
      <c r="C738" s="768"/>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4.25" customHeight="1">
      <c r="A739" s="768"/>
      <c r="B739" s="4"/>
      <c r="C739" s="768"/>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4.25" customHeight="1">
      <c r="A740" s="768"/>
      <c r="B740" s="4"/>
      <c r="C740" s="768"/>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4.25" customHeight="1">
      <c r="A741" s="768"/>
      <c r="B741" s="4"/>
      <c r="C741" s="768"/>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4.25" customHeight="1">
      <c r="A742" s="768"/>
      <c r="B742" s="4"/>
      <c r="C742" s="768"/>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4.25" customHeight="1">
      <c r="A743" s="768"/>
      <c r="B743" s="4"/>
      <c r="C743" s="768"/>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4.25" customHeight="1">
      <c r="A744" s="768"/>
      <c r="B744" s="4"/>
      <c r="C744" s="768"/>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4.25" customHeight="1">
      <c r="A745" s="768"/>
      <c r="B745" s="4"/>
      <c r="C745" s="768"/>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4.25" customHeight="1">
      <c r="A746" s="768"/>
      <c r="B746" s="4"/>
      <c r="C746" s="768"/>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4.25" customHeight="1">
      <c r="A747" s="768"/>
      <c r="B747" s="4"/>
      <c r="C747" s="768"/>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4.25" customHeight="1">
      <c r="A748" s="768"/>
      <c r="B748" s="4"/>
      <c r="C748" s="768"/>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4.25" customHeight="1">
      <c r="A749" s="768"/>
      <c r="B749" s="4"/>
      <c r="C749" s="768"/>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4.25" customHeight="1">
      <c r="A750" s="768"/>
      <c r="B750" s="4"/>
      <c r="C750" s="768"/>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4.25" customHeight="1">
      <c r="A751" s="768"/>
      <c r="B751" s="4"/>
      <c r="C751" s="768"/>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4.25" customHeight="1">
      <c r="A752" s="768"/>
      <c r="B752" s="4"/>
      <c r="C752" s="768"/>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4.25" customHeight="1">
      <c r="A753" s="768"/>
      <c r="B753" s="4"/>
      <c r="C753" s="768"/>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4.25" customHeight="1">
      <c r="A754" s="768"/>
      <c r="B754" s="4"/>
      <c r="C754" s="768"/>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4.25" customHeight="1">
      <c r="A755" s="768"/>
      <c r="B755" s="4"/>
      <c r="C755" s="768"/>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4.25" customHeight="1">
      <c r="A756" s="768"/>
      <c r="B756" s="4"/>
      <c r="C756" s="768"/>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4.25" customHeight="1">
      <c r="A757" s="768"/>
      <c r="B757" s="4"/>
      <c r="C757" s="768"/>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4.25" customHeight="1">
      <c r="A758" s="768"/>
      <c r="B758" s="4"/>
      <c r="C758" s="768"/>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4.25" customHeight="1">
      <c r="A759" s="768"/>
      <c r="B759" s="4"/>
      <c r="C759" s="768"/>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4.25" customHeight="1">
      <c r="A760" s="768"/>
      <c r="B760" s="4"/>
      <c r="C760" s="768"/>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4.25" customHeight="1">
      <c r="A761" s="768"/>
      <c r="B761" s="4"/>
      <c r="C761" s="768"/>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4.25" customHeight="1">
      <c r="A762" s="768"/>
      <c r="B762" s="4"/>
      <c r="C762" s="768"/>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4.25" customHeight="1">
      <c r="A763" s="768"/>
      <c r="B763" s="4"/>
      <c r="C763" s="768"/>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4.25" customHeight="1">
      <c r="A764" s="768"/>
      <c r="B764" s="4"/>
      <c r="C764" s="768"/>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4.25" customHeight="1">
      <c r="A765" s="768"/>
      <c r="B765" s="4"/>
      <c r="C765" s="768"/>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4.25" customHeight="1">
      <c r="A766" s="768"/>
      <c r="B766" s="4"/>
      <c r="C766" s="768"/>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4.25" customHeight="1">
      <c r="A767" s="768"/>
      <c r="B767" s="4"/>
      <c r="C767" s="768"/>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4.25" customHeight="1">
      <c r="A768" s="768"/>
      <c r="B768" s="4"/>
      <c r="C768" s="768"/>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4.25" customHeight="1">
      <c r="A769" s="768"/>
      <c r="B769" s="4"/>
      <c r="C769" s="768"/>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4.25" customHeight="1">
      <c r="A770" s="768"/>
      <c r="B770" s="4"/>
      <c r="C770" s="768"/>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4.25" customHeight="1">
      <c r="A771" s="768"/>
      <c r="B771" s="4"/>
      <c r="C771" s="768"/>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4.25" customHeight="1">
      <c r="A772" s="768"/>
      <c r="B772" s="4"/>
      <c r="C772" s="768"/>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4.25" customHeight="1">
      <c r="A773" s="768"/>
      <c r="B773" s="4"/>
      <c r="C773" s="768"/>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4.25" customHeight="1">
      <c r="A774" s="768"/>
      <c r="B774" s="4"/>
      <c r="C774" s="768"/>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4.25" customHeight="1">
      <c r="A775" s="768"/>
      <c r="B775" s="4"/>
      <c r="C775" s="768"/>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4.25" customHeight="1">
      <c r="A776" s="768"/>
      <c r="B776" s="4"/>
      <c r="C776" s="768"/>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4.25" customHeight="1">
      <c r="A777" s="768"/>
      <c r="B777" s="4"/>
      <c r="C777" s="768"/>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4.25" customHeight="1">
      <c r="A778" s="768"/>
      <c r="B778" s="4"/>
      <c r="C778" s="768"/>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4.25" customHeight="1">
      <c r="A779" s="768"/>
      <c r="B779" s="4"/>
      <c r="C779" s="768"/>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4.25" customHeight="1">
      <c r="A780" s="768"/>
      <c r="B780" s="4"/>
      <c r="C780" s="768"/>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4.25" customHeight="1">
      <c r="A781" s="768"/>
      <c r="B781" s="4"/>
      <c r="C781" s="768"/>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4.25" customHeight="1">
      <c r="A782" s="768"/>
      <c r="B782" s="4"/>
      <c r="C782" s="768"/>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4.25" customHeight="1">
      <c r="A783" s="768"/>
      <c r="B783" s="4"/>
      <c r="C783" s="768"/>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4.25" customHeight="1">
      <c r="A784" s="768"/>
      <c r="B784" s="4"/>
      <c r="C784" s="768"/>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4.25" customHeight="1">
      <c r="A785" s="768"/>
      <c r="B785" s="4"/>
      <c r="C785" s="768"/>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4.25" customHeight="1">
      <c r="A786" s="768"/>
      <c r="B786" s="4"/>
      <c r="C786" s="768"/>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4.25" customHeight="1">
      <c r="A787" s="768"/>
      <c r="B787" s="4"/>
      <c r="C787" s="768"/>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4.25" customHeight="1">
      <c r="A788" s="768"/>
      <c r="B788" s="4"/>
      <c r="C788" s="768"/>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4.25" customHeight="1">
      <c r="A789" s="768"/>
      <c r="B789" s="4"/>
      <c r="C789" s="768"/>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4.25" customHeight="1">
      <c r="A790" s="768"/>
      <c r="B790" s="4"/>
      <c r="C790" s="768"/>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4.25" customHeight="1">
      <c r="A791" s="768"/>
      <c r="B791" s="4"/>
      <c r="C791" s="768"/>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4.25" customHeight="1">
      <c r="A792" s="768"/>
      <c r="B792" s="4"/>
      <c r="C792" s="768"/>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4.25" customHeight="1">
      <c r="A793" s="768"/>
      <c r="B793" s="4"/>
      <c r="C793" s="768"/>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4.25" customHeight="1">
      <c r="A794" s="768"/>
      <c r="B794" s="4"/>
      <c r="C794" s="768"/>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4.25" customHeight="1">
      <c r="A795" s="768"/>
      <c r="B795" s="4"/>
      <c r="C795" s="768"/>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4.25" customHeight="1">
      <c r="A796" s="768"/>
      <c r="B796" s="4"/>
      <c r="C796" s="768"/>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4.25" customHeight="1">
      <c r="A797" s="768"/>
      <c r="B797" s="4"/>
      <c r="C797" s="768"/>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4.25" customHeight="1">
      <c r="A798" s="768"/>
      <c r="B798" s="4"/>
      <c r="C798" s="768"/>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4.25" customHeight="1">
      <c r="A799" s="768"/>
      <c r="B799" s="4"/>
      <c r="C799" s="768"/>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4.25" customHeight="1">
      <c r="A800" s="768"/>
      <c r="B800" s="4"/>
      <c r="C800" s="768"/>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4.25" customHeight="1">
      <c r="A801" s="768"/>
      <c r="B801" s="4"/>
      <c r="C801" s="768"/>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4.25" customHeight="1">
      <c r="A802" s="768"/>
      <c r="B802" s="4"/>
      <c r="C802" s="768"/>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4.25" customHeight="1">
      <c r="A803" s="768"/>
      <c r="B803" s="4"/>
      <c r="C803" s="768"/>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4.25" customHeight="1">
      <c r="A804" s="768"/>
      <c r="B804" s="4"/>
      <c r="C804" s="768"/>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4.25" customHeight="1">
      <c r="A805" s="768"/>
      <c r="B805" s="4"/>
      <c r="C805" s="768"/>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4.25" customHeight="1">
      <c r="A806" s="768"/>
      <c r="B806" s="4"/>
      <c r="C806" s="768"/>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4.25" customHeight="1">
      <c r="A807" s="768"/>
      <c r="B807" s="4"/>
      <c r="C807" s="768"/>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4.25" customHeight="1">
      <c r="A808" s="768"/>
      <c r="B808" s="4"/>
      <c r="C808" s="768"/>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4.25" customHeight="1">
      <c r="A809" s="768"/>
      <c r="B809" s="4"/>
      <c r="C809" s="768"/>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4.25" customHeight="1">
      <c r="A810" s="768"/>
      <c r="B810" s="4"/>
      <c r="C810" s="768"/>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4.25" customHeight="1">
      <c r="A811" s="768"/>
      <c r="B811" s="4"/>
      <c r="C811" s="768"/>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4.25" customHeight="1">
      <c r="A812" s="768"/>
      <c r="B812" s="4"/>
      <c r="C812" s="768"/>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4.25" customHeight="1">
      <c r="A813" s="768"/>
      <c r="B813" s="4"/>
      <c r="C813" s="768"/>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4.25" customHeight="1">
      <c r="A814" s="768"/>
      <c r="B814" s="4"/>
      <c r="C814" s="768"/>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4.25" customHeight="1">
      <c r="A815" s="768"/>
      <c r="B815" s="4"/>
      <c r="C815" s="768"/>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4.25" customHeight="1">
      <c r="A816" s="768"/>
      <c r="B816" s="4"/>
      <c r="C816" s="768"/>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4.25" customHeight="1">
      <c r="A817" s="768"/>
      <c r="B817" s="4"/>
      <c r="C817" s="768"/>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4.25" customHeight="1">
      <c r="A818" s="768"/>
      <c r="B818" s="4"/>
      <c r="C818" s="768"/>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4.25" customHeight="1">
      <c r="A819" s="768"/>
      <c r="B819" s="4"/>
      <c r="C819" s="768"/>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4.25" customHeight="1">
      <c r="A820" s="768"/>
      <c r="B820" s="4"/>
      <c r="C820" s="768"/>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4.25" customHeight="1">
      <c r="A821" s="768"/>
      <c r="B821" s="4"/>
      <c r="C821" s="768"/>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4.25" customHeight="1">
      <c r="A822" s="768"/>
      <c r="B822" s="4"/>
      <c r="C822" s="768"/>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4.25" customHeight="1">
      <c r="A823" s="768"/>
      <c r="B823" s="4"/>
      <c r="C823" s="768"/>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4.25" customHeight="1">
      <c r="A824" s="768"/>
      <c r="B824" s="4"/>
      <c r="C824" s="768"/>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4.25" customHeight="1">
      <c r="A825" s="768"/>
      <c r="B825" s="4"/>
      <c r="C825" s="768"/>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4.25" customHeight="1">
      <c r="A826" s="768"/>
      <c r="B826" s="4"/>
      <c r="C826" s="768"/>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4.25" customHeight="1">
      <c r="A827" s="768"/>
      <c r="B827" s="4"/>
      <c r="C827" s="768"/>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4.25" customHeight="1">
      <c r="A828" s="768"/>
      <c r="B828" s="4"/>
      <c r="C828" s="768"/>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4.25" customHeight="1">
      <c r="A829" s="768"/>
      <c r="B829" s="4"/>
      <c r="C829" s="768"/>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4.25" customHeight="1">
      <c r="A830" s="768"/>
      <c r="B830" s="4"/>
      <c r="C830" s="768"/>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4.25" customHeight="1">
      <c r="A831" s="768"/>
      <c r="B831" s="4"/>
      <c r="C831" s="768"/>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4.25" customHeight="1">
      <c r="A832" s="768"/>
      <c r="B832" s="4"/>
      <c r="C832" s="768"/>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4.25" customHeight="1">
      <c r="A833" s="768"/>
      <c r="B833" s="4"/>
      <c r="C833" s="768"/>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4.25" customHeight="1">
      <c r="A834" s="768"/>
      <c r="B834" s="4"/>
      <c r="C834" s="768"/>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4.25" customHeight="1">
      <c r="A835" s="768"/>
      <c r="B835" s="4"/>
      <c r="C835" s="768"/>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4.25" customHeight="1">
      <c r="A836" s="768"/>
      <c r="B836" s="4"/>
      <c r="C836" s="768"/>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4.25" customHeight="1">
      <c r="A837" s="768"/>
      <c r="B837" s="4"/>
      <c r="C837" s="768"/>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4.25" customHeight="1">
      <c r="A838" s="768"/>
      <c r="B838" s="4"/>
      <c r="C838" s="768"/>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4.25" customHeight="1">
      <c r="A839" s="768"/>
      <c r="B839" s="4"/>
      <c r="C839" s="768"/>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4.25" customHeight="1">
      <c r="A840" s="768"/>
      <c r="B840" s="4"/>
      <c r="C840" s="768"/>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4.25" customHeight="1">
      <c r="A841" s="768"/>
      <c r="B841" s="4"/>
      <c r="C841" s="768"/>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4.25" customHeight="1">
      <c r="A842" s="768"/>
      <c r="B842" s="4"/>
      <c r="C842" s="768"/>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4.25" customHeight="1">
      <c r="A843" s="768"/>
      <c r="B843" s="4"/>
      <c r="C843" s="768"/>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4.25" customHeight="1">
      <c r="A844" s="768"/>
      <c r="B844" s="4"/>
      <c r="C844" s="768"/>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4.25" customHeight="1">
      <c r="A845" s="768"/>
      <c r="B845" s="4"/>
      <c r="C845" s="768"/>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4.25" customHeight="1">
      <c r="A846" s="768"/>
      <c r="B846" s="4"/>
      <c r="C846" s="768"/>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4.25" customHeight="1">
      <c r="A847" s="768"/>
      <c r="B847" s="4"/>
      <c r="C847" s="768"/>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4.25" customHeight="1">
      <c r="A848" s="768"/>
      <c r="B848" s="4"/>
      <c r="C848" s="768"/>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4.25" customHeight="1">
      <c r="A849" s="768"/>
      <c r="B849" s="4"/>
      <c r="C849" s="768"/>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4.25" customHeight="1">
      <c r="A850" s="768"/>
      <c r="B850" s="4"/>
      <c r="C850" s="768"/>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4.25" customHeight="1">
      <c r="A851" s="768"/>
      <c r="B851" s="4"/>
      <c r="C851" s="768"/>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4.25" customHeight="1">
      <c r="A852" s="768"/>
      <c r="B852" s="4"/>
      <c r="C852" s="768"/>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4.25" customHeight="1">
      <c r="A853" s="768"/>
      <c r="B853" s="4"/>
      <c r="C853" s="768"/>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4.25" customHeight="1">
      <c r="A854" s="768"/>
      <c r="B854" s="4"/>
      <c r="C854" s="768"/>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4.25" customHeight="1">
      <c r="A855" s="768"/>
      <c r="B855" s="4"/>
      <c r="C855" s="768"/>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4.25" customHeight="1">
      <c r="A856" s="768"/>
      <c r="B856" s="4"/>
      <c r="C856" s="768"/>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4.25" customHeight="1">
      <c r="A857" s="768"/>
      <c r="B857" s="4"/>
      <c r="C857" s="768"/>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4.25" customHeight="1">
      <c r="A858" s="768"/>
      <c r="B858" s="4"/>
      <c r="C858" s="768"/>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4.25" customHeight="1">
      <c r="A859" s="768"/>
      <c r="B859" s="4"/>
      <c r="C859" s="768"/>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4.25" customHeight="1">
      <c r="A860" s="768"/>
      <c r="B860" s="4"/>
      <c r="C860" s="768"/>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4.25" customHeight="1">
      <c r="A861" s="768"/>
      <c r="B861" s="4"/>
      <c r="C861" s="768"/>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4.25" customHeight="1">
      <c r="A862" s="768"/>
      <c r="B862" s="4"/>
      <c r="C862" s="768"/>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4.25" customHeight="1">
      <c r="A863" s="768"/>
      <c r="B863" s="4"/>
      <c r="C863" s="768"/>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4.25" customHeight="1">
      <c r="A864" s="768"/>
      <c r="B864" s="4"/>
      <c r="C864" s="768"/>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4.25" customHeight="1">
      <c r="A865" s="768"/>
      <c r="B865" s="4"/>
      <c r="C865" s="768"/>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4.25" customHeight="1">
      <c r="A866" s="768"/>
      <c r="B866" s="4"/>
      <c r="C866" s="768"/>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4.25" customHeight="1">
      <c r="A867" s="768"/>
      <c r="B867" s="4"/>
      <c r="C867" s="768"/>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4.25" customHeight="1">
      <c r="A868" s="768"/>
      <c r="B868" s="4"/>
      <c r="C868" s="768"/>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4.25" customHeight="1">
      <c r="A869" s="768"/>
      <c r="B869" s="4"/>
      <c r="C869" s="768"/>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4.25" customHeight="1">
      <c r="A870" s="768"/>
      <c r="B870" s="4"/>
      <c r="C870" s="768"/>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4.25" customHeight="1">
      <c r="A871" s="768"/>
      <c r="B871" s="4"/>
      <c r="C871" s="768"/>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4.25" customHeight="1">
      <c r="A872" s="768"/>
      <c r="B872" s="4"/>
      <c r="C872" s="768"/>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4.25" customHeight="1">
      <c r="A873" s="768"/>
      <c r="B873" s="4"/>
      <c r="C873" s="768"/>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4.25" customHeight="1">
      <c r="A874" s="768"/>
      <c r="B874" s="4"/>
      <c r="C874" s="768"/>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4.25" customHeight="1">
      <c r="A875" s="768"/>
      <c r="B875" s="4"/>
      <c r="C875" s="768"/>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4.25" customHeight="1">
      <c r="A876" s="768"/>
      <c r="B876" s="4"/>
      <c r="C876" s="768"/>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4.25" customHeight="1">
      <c r="A877" s="768"/>
      <c r="B877" s="4"/>
      <c r="C877" s="768"/>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4.25" customHeight="1">
      <c r="A878" s="768"/>
      <c r="B878" s="4"/>
      <c r="C878" s="768"/>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4.25" customHeight="1">
      <c r="A879" s="768"/>
      <c r="B879" s="4"/>
      <c r="C879" s="768"/>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4.25" customHeight="1">
      <c r="A880" s="768"/>
      <c r="B880" s="4"/>
      <c r="C880" s="768"/>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4.25" customHeight="1">
      <c r="A881" s="768"/>
      <c r="B881" s="4"/>
      <c r="C881" s="768"/>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4.25" customHeight="1">
      <c r="A882" s="768"/>
      <c r="B882" s="4"/>
      <c r="C882" s="768"/>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4.25" customHeight="1">
      <c r="A883" s="768"/>
      <c r="B883" s="4"/>
      <c r="C883" s="768"/>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4.25" customHeight="1">
      <c r="A884" s="768"/>
      <c r="B884" s="4"/>
      <c r="C884" s="768"/>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4.25" customHeight="1">
      <c r="A885" s="768"/>
      <c r="B885" s="4"/>
      <c r="C885" s="768"/>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4.25" customHeight="1">
      <c r="A886" s="768"/>
      <c r="B886" s="4"/>
      <c r="C886" s="768"/>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4.25" customHeight="1">
      <c r="A887" s="768"/>
      <c r="B887" s="4"/>
      <c r="C887" s="768"/>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4.25" customHeight="1">
      <c r="A888" s="768"/>
      <c r="B888" s="4"/>
      <c r="C888" s="768"/>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4.25" customHeight="1">
      <c r="A889" s="768"/>
      <c r="B889" s="4"/>
      <c r="C889" s="768"/>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4.25" customHeight="1">
      <c r="A890" s="768"/>
      <c r="B890" s="4"/>
      <c r="C890" s="768"/>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4.25" customHeight="1">
      <c r="A891" s="768"/>
      <c r="B891" s="4"/>
      <c r="C891" s="768"/>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4.25" customHeight="1">
      <c r="A892" s="768"/>
      <c r="B892" s="4"/>
      <c r="C892" s="768"/>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4.25" customHeight="1">
      <c r="A893" s="768"/>
      <c r="B893" s="4"/>
      <c r="C893" s="768"/>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4.25" customHeight="1">
      <c r="A894" s="768"/>
      <c r="B894" s="4"/>
      <c r="C894" s="768"/>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4.25" customHeight="1">
      <c r="A895" s="768"/>
      <c r="B895" s="4"/>
      <c r="C895" s="768"/>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4.25" customHeight="1">
      <c r="A896" s="768"/>
      <c r="B896" s="4"/>
      <c r="C896" s="768"/>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4.25" customHeight="1">
      <c r="A897" s="768"/>
      <c r="B897" s="4"/>
      <c r="C897" s="768"/>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4.25" customHeight="1">
      <c r="A898" s="768"/>
      <c r="B898" s="4"/>
      <c r="C898" s="768"/>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4.25" customHeight="1">
      <c r="A899" s="768"/>
      <c r="B899" s="4"/>
      <c r="C899" s="768"/>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4.25" customHeight="1">
      <c r="A900" s="768"/>
      <c r="B900" s="4"/>
      <c r="C900" s="768"/>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4.25" customHeight="1">
      <c r="A901" s="768"/>
      <c r="B901" s="4"/>
      <c r="C901" s="768"/>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4.25" customHeight="1">
      <c r="A902" s="768"/>
      <c r="B902" s="4"/>
      <c r="C902" s="768"/>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4.25" customHeight="1">
      <c r="A903" s="768"/>
      <c r="B903" s="4"/>
      <c r="C903" s="768"/>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4.25" customHeight="1">
      <c r="A904" s="768"/>
      <c r="B904" s="4"/>
      <c r="C904" s="768"/>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4.25" customHeight="1">
      <c r="A905" s="768"/>
      <c r="B905" s="4"/>
      <c r="C905" s="768"/>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4.25" customHeight="1">
      <c r="A906" s="768"/>
      <c r="B906" s="4"/>
      <c r="C906" s="768"/>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4.25" customHeight="1">
      <c r="A907" s="768"/>
      <c r="B907" s="4"/>
      <c r="C907" s="768"/>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4.25" customHeight="1">
      <c r="A908" s="768"/>
      <c r="B908" s="4"/>
      <c r="C908" s="768"/>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4.25" customHeight="1">
      <c r="A909" s="768"/>
      <c r="B909" s="4"/>
      <c r="C909" s="768"/>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4.25" customHeight="1">
      <c r="A910" s="768"/>
      <c r="B910" s="4"/>
      <c r="C910" s="768"/>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4.25" customHeight="1">
      <c r="A911" s="768"/>
      <c r="B911" s="4"/>
      <c r="C911" s="768"/>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4.25" customHeight="1">
      <c r="A912" s="768"/>
      <c r="B912" s="4"/>
      <c r="C912" s="768"/>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4.25" customHeight="1">
      <c r="A913" s="768"/>
      <c r="B913" s="4"/>
      <c r="C913" s="768"/>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4.25" customHeight="1">
      <c r="A914" s="768"/>
      <c r="B914" s="4"/>
      <c r="C914" s="768"/>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4.25" customHeight="1">
      <c r="A915" s="768"/>
      <c r="B915" s="4"/>
      <c r="C915" s="768"/>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4.25" customHeight="1">
      <c r="A916" s="768"/>
      <c r="B916" s="4"/>
      <c r="C916" s="768"/>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4.25" customHeight="1">
      <c r="A917" s="768"/>
      <c r="B917" s="4"/>
      <c r="C917" s="768"/>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4.25" customHeight="1">
      <c r="A918" s="768"/>
      <c r="B918" s="4"/>
      <c r="C918" s="768"/>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4.25" customHeight="1">
      <c r="A919" s="768"/>
      <c r="B919" s="4"/>
      <c r="C919" s="768"/>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4.25" customHeight="1">
      <c r="A920" s="768"/>
      <c r="B920" s="4"/>
      <c r="C920" s="768"/>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4.25" customHeight="1">
      <c r="A921" s="768"/>
      <c r="B921" s="4"/>
      <c r="C921" s="768"/>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4.25" customHeight="1">
      <c r="A922" s="768"/>
      <c r="B922" s="4"/>
      <c r="C922" s="768"/>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4.25" customHeight="1">
      <c r="A923" s="768"/>
      <c r="B923" s="4"/>
      <c r="C923" s="768"/>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4.25" customHeight="1">
      <c r="A924" s="768"/>
      <c r="B924" s="4"/>
      <c r="C924" s="768"/>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4.25" customHeight="1">
      <c r="A925" s="768"/>
      <c r="B925" s="4"/>
      <c r="C925" s="768"/>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4.25" customHeight="1">
      <c r="A926" s="768"/>
      <c r="B926" s="4"/>
      <c r="C926" s="768"/>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4.25" customHeight="1">
      <c r="A927" s="768"/>
      <c r="B927" s="4"/>
      <c r="C927" s="768"/>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4.25" customHeight="1">
      <c r="A928" s="768"/>
      <c r="B928" s="4"/>
      <c r="C928" s="768"/>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4.25" customHeight="1">
      <c r="A929" s="768"/>
      <c r="B929" s="4"/>
      <c r="C929" s="768"/>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4.25" customHeight="1">
      <c r="A930" s="768"/>
      <c r="B930" s="4"/>
      <c r="C930" s="768"/>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4.25" customHeight="1">
      <c r="A931" s="768"/>
      <c r="B931" s="4"/>
      <c r="C931" s="768"/>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4.25" customHeight="1">
      <c r="A932" s="768"/>
      <c r="B932" s="4"/>
      <c r="C932" s="768"/>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4.25" customHeight="1">
      <c r="A933" s="768"/>
      <c r="B933" s="4"/>
      <c r="C933" s="768"/>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4.25" customHeight="1">
      <c r="A934" s="768"/>
      <c r="B934" s="4"/>
      <c r="C934" s="768"/>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4.25" customHeight="1">
      <c r="A935" s="768"/>
      <c r="B935" s="4"/>
      <c r="C935" s="768"/>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4.25" customHeight="1">
      <c r="A936" s="768"/>
      <c r="B936" s="4"/>
      <c r="C936" s="768"/>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4.25" customHeight="1">
      <c r="A937" s="768"/>
      <c r="B937" s="4"/>
      <c r="C937" s="768"/>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4.25" customHeight="1">
      <c r="A938" s="768"/>
      <c r="B938" s="4"/>
      <c r="C938" s="768"/>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4.25" customHeight="1">
      <c r="A939" s="768"/>
      <c r="B939" s="4"/>
      <c r="C939" s="768"/>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4.25" customHeight="1">
      <c r="A940" s="768"/>
      <c r="B940" s="4"/>
      <c r="C940" s="768"/>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4.25" customHeight="1">
      <c r="A941" s="768"/>
      <c r="B941" s="4"/>
      <c r="C941" s="768"/>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4.25" customHeight="1">
      <c r="A942" s="768"/>
      <c r="B942" s="4"/>
      <c r="C942" s="768"/>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4.25" customHeight="1">
      <c r="A943" s="768"/>
      <c r="B943" s="4"/>
      <c r="C943" s="768"/>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4.25" customHeight="1">
      <c r="A944" s="768"/>
      <c r="B944" s="4"/>
      <c r="C944" s="768"/>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4.25" customHeight="1">
      <c r="A945" s="768"/>
      <c r="B945" s="4"/>
      <c r="C945" s="768"/>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4.25" customHeight="1">
      <c r="A946" s="768"/>
      <c r="B946" s="4"/>
      <c r="C946" s="768"/>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4.25" customHeight="1">
      <c r="A947" s="768"/>
      <c r="B947" s="4"/>
      <c r="C947" s="768"/>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4.25" customHeight="1">
      <c r="A948" s="768"/>
      <c r="B948" s="4"/>
      <c r="C948" s="768"/>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4.25" customHeight="1">
      <c r="A949" s="768"/>
      <c r="B949" s="4"/>
      <c r="C949" s="768"/>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4.25" customHeight="1">
      <c r="A950" s="768"/>
      <c r="B950" s="4"/>
      <c r="C950" s="768"/>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4.25" customHeight="1">
      <c r="A951" s="768"/>
      <c r="B951" s="4"/>
      <c r="C951" s="768"/>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4.25" customHeight="1">
      <c r="A952" s="768"/>
      <c r="B952" s="4"/>
      <c r="C952" s="768"/>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4.25" customHeight="1">
      <c r="A953" s="768"/>
      <c r="B953" s="4"/>
      <c r="C953" s="768"/>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4.25" customHeight="1">
      <c r="A954" s="768"/>
      <c r="B954" s="4"/>
      <c r="C954" s="768"/>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4.25" customHeight="1">
      <c r="A955" s="768"/>
      <c r="B955" s="4"/>
      <c r="C955" s="768"/>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4.25" customHeight="1">
      <c r="A956" s="768"/>
      <c r="B956" s="4"/>
      <c r="C956" s="768"/>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4.25" customHeight="1">
      <c r="A957" s="768"/>
      <c r="B957" s="4"/>
      <c r="C957" s="768"/>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4.25" customHeight="1">
      <c r="A958" s="768"/>
      <c r="B958" s="4"/>
      <c r="C958" s="768"/>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4.25" customHeight="1">
      <c r="A959" s="768"/>
      <c r="B959" s="4"/>
      <c r="C959" s="768"/>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4.25" customHeight="1">
      <c r="A960" s="768"/>
      <c r="B960" s="4"/>
      <c r="C960" s="768"/>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4.25" customHeight="1">
      <c r="A961" s="768"/>
      <c r="B961" s="4"/>
      <c r="C961" s="768"/>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4.25" customHeight="1">
      <c r="A962" s="768"/>
      <c r="B962" s="4"/>
      <c r="C962" s="768"/>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4.25" customHeight="1">
      <c r="A963" s="768"/>
      <c r="B963" s="4"/>
      <c r="C963" s="768"/>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4.25" customHeight="1">
      <c r="A964" s="768"/>
      <c r="B964" s="4"/>
      <c r="C964" s="768"/>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4.25" customHeight="1">
      <c r="A965" s="768"/>
      <c r="B965" s="4"/>
      <c r="C965" s="768"/>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4.25" customHeight="1">
      <c r="A966" s="768"/>
      <c r="B966" s="4"/>
      <c r="C966" s="768"/>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4.25" customHeight="1">
      <c r="A967" s="768"/>
      <c r="B967" s="4"/>
      <c r="C967" s="768"/>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4.25" customHeight="1">
      <c r="A968" s="768"/>
      <c r="B968" s="4"/>
      <c r="C968" s="768"/>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4.25" customHeight="1">
      <c r="A969" s="768"/>
      <c r="B969" s="4"/>
      <c r="C969" s="768"/>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4.25" customHeight="1">
      <c r="A970" s="768"/>
      <c r="B970" s="4"/>
      <c r="C970" s="768"/>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4.25" customHeight="1">
      <c r="A971" s="768"/>
      <c r="B971" s="4"/>
      <c r="C971" s="768"/>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4.25" customHeight="1">
      <c r="A972" s="768"/>
      <c r="B972" s="4"/>
      <c r="C972" s="768"/>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4.25" customHeight="1">
      <c r="A973" s="768"/>
      <c r="B973" s="4"/>
      <c r="C973" s="768"/>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4.25" customHeight="1">
      <c r="A974" s="768"/>
      <c r="B974" s="4"/>
      <c r="C974" s="768"/>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4.25" customHeight="1">
      <c r="A975" s="768"/>
      <c r="B975" s="4"/>
      <c r="C975" s="768"/>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4.25" customHeight="1">
      <c r="A976" s="768"/>
      <c r="B976" s="4"/>
      <c r="C976" s="768"/>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4.25" customHeight="1">
      <c r="A977" s="768"/>
      <c r="B977" s="4"/>
      <c r="C977" s="768"/>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4.25" customHeight="1">
      <c r="A978" s="768"/>
      <c r="B978" s="4"/>
      <c r="C978" s="768"/>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4.25" customHeight="1">
      <c r="A979" s="768"/>
      <c r="B979" s="4"/>
      <c r="C979" s="768"/>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4.25" customHeight="1">
      <c r="A980" s="768"/>
      <c r="B980" s="4"/>
      <c r="C980" s="768"/>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4.25" customHeight="1">
      <c r="A981" s="768"/>
      <c r="B981" s="4"/>
      <c r="C981" s="768"/>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4.25" customHeight="1">
      <c r="A982" s="768"/>
      <c r="B982" s="4"/>
      <c r="C982" s="768"/>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4.25" customHeight="1">
      <c r="A983" s="768"/>
      <c r="B983" s="4"/>
      <c r="C983" s="768"/>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4.25" customHeight="1">
      <c r="A984" s="768"/>
      <c r="B984" s="4"/>
      <c r="C984" s="768"/>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4.25" customHeight="1">
      <c r="A985" s="768"/>
      <c r="B985" s="4"/>
      <c r="C985" s="768"/>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4.25" customHeight="1">
      <c r="A986" s="768"/>
      <c r="B986" s="4"/>
      <c r="C986" s="768"/>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4.25" customHeight="1">
      <c r="A987" s="768"/>
      <c r="B987" s="4"/>
      <c r="C987" s="768"/>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4.25" customHeight="1">
      <c r="A988" s="768"/>
      <c r="B988" s="4"/>
      <c r="C988" s="768"/>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4.25" customHeight="1">
      <c r="A989" s="768"/>
      <c r="B989" s="4"/>
      <c r="C989" s="768"/>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4.25" customHeight="1">
      <c r="A990" s="768"/>
      <c r="B990" s="4"/>
      <c r="C990" s="768"/>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4.25" customHeight="1">
      <c r="A991" s="768"/>
      <c r="B991" s="4"/>
      <c r="C991" s="768"/>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4.25" customHeight="1">
      <c r="A992" s="768"/>
      <c r="B992" s="4"/>
      <c r="C992" s="768"/>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4.25" customHeight="1">
      <c r="A993" s="768"/>
      <c r="B993" s="4"/>
      <c r="C993" s="768"/>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4.25" customHeight="1">
      <c r="A994" s="768"/>
      <c r="B994" s="4"/>
      <c r="C994" s="768"/>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4.25" customHeight="1">
      <c r="A995" s="768"/>
      <c r="B995" s="4"/>
      <c r="C995" s="768"/>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4.25" customHeight="1">
      <c r="A996" s="768"/>
      <c r="B996" s="4"/>
      <c r="C996" s="768"/>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4.25" customHeight="1">
      <c r="A997" s="768"/>
      <c r="B997" s="4"/>
      <c r="C997" s="768"/>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4.25" customHeight="1">
      <c r="A998" s="768"/>
      <c r="B998" s="4"/>
      <c r="C998" s="768"/>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4.25" customHeight="1">
      <c r="A999" s="768"/>
      <c r="B999" s="4"/>
      <c r="C999" s="768"/>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4.25" customHeight="1">
      <c r="A1000" s="768"/>
      <c r="B1000" s="4"/>
      <c r="C1000" s="768"/>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row r="1001" spans="1:30" ht="14.25" customHeight="1">
      <c r="A1001" s="768"/>
      <c r="B1001" s="4"/>
      <c r="C1001" s="768"/>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row>
    <row r="1002" spans="1:30" ht="14.25" customHeight="1">
      <c r="A1002" s="768"/>
      <c r="B1002" s="4"/>
      <c r="C1002" s="768"/>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row>
    <row r="1003" spans="1:30" ht="14.25" customHeight="1">
      <c r="A1003" s="768"/>
      <c r="B1003" s="4"/>
      <c r="C1003" s="768"/>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row>
    <row r="1004" spans="1:30" ht="14.25" customHeight="1">
      <c r="A1004" s="768"/>
      <c r="B1004" s="4"/>
      <c r="C1004" s="768"/>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row>
    <row r="1005" spans="1:30" ht="14.25" customHeight="1">
      <c r="A1005" s="768"/>
      <c r="B1005" s="4"/>
      <c r="C1005" s="768"/>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row>
    <row r="1006" spans="1:30" ht="14.25" customHeight="1">
      <c r="A1006" s="768"/>
      <c r="B1006" s="4"/>
      <c r="C1006" s="768"/>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row>
    <row r="1007" spans="1:30" ht="14.25" customHeight="1">
      <c r="A1007" s="768"/>
      <c r="B1007" s="4"/>
      <c r="C1007" s="768"/>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row>
  </sheetData>
  <autoFilter ref="A1:AD539"/>
  <conditionalFormatting sqref="P82:W82">
    <cfRule type="expression" dxfId="23" priority="27">
      <formula>$DD82=TRUE</formula>
    </cfRule>
    <cfRule type="expression" dxfId="22" priority="28">
      <formula>$DO82=TRUE</formula>
    </cfRule>
  </conditionalFormatting>
  <conditionalFormatting sqref="X16 X41">
    <cfRule type="expression" dxfId="21" priority="1">
      <formula>$CY16=TRUE</formula>
    </cfRule>
    <cfRule type="expression" dxfId="20" priority="2">
      <formula>$DJ16=TRUE</formula>
    </cfRule>
  </conditionalFormatting>
  <conditionalFormatting sqref="X51 X61:X82">
    <cfRule type="expression" dxfId="19" priority="3">
      <formula>$CW51=TRUE</formula>
    </cfRule>
    <cfRule type="expression" dxfId="18" priority="4">
      <formula>$DH51=TRUE</formula>
    </cfRule>
  </conditionalFormatting>
  <conditionalFormatting sqref="X53">
    <cfRule type="expression" dxfId="17" priority="5">
      <formula>$CW53=TRUE</formula>
    </cfRule>
    <cfRule type="expression" dxfId="16" priority="6">
      <formula>$DH53=TRUE</formula>
    </cfRule>
  </conditionalFormatting>
  <conditionalFormatting sqref="X56:X58">
    <cfRule type="expression" dxfId="15" priority="7">
      <formula>$CW56=TRUE</formula>
    </cfRule>
    <cfRule type="expression" dxfId="14" priority="8">
      <formula>$DH56=TRUE</formula>
    </cfRule>
  </conditionalFormatting>
  <conditionalFormatting sqref="X87:X91">
    <cfRule type="expression" dxfId="13" priority="15">
      <formula>$CW87=TRUE</formula>
    </cfRule>
    <cfRule type="expression" dxfId="12" priority="16">
      <formula>$DH87=TRUE</formula>
    </cfRule>
  </conditionalFormatting>
  <conditionalFormatting sqref="X93:X94">
    <cfRule type="expression" dxfId="11" priority="17">
      <formula>$CW93=TRUE</formula>
    </cfRule>
    <cfRule type="expression" dxfId="10" priority="18">
      <formula>$DH93=TRUE</formula>
    </cfRule>
  </conditionalFormatting>
  <conditionalFormatting sqref="X126:X129">
    <cfRule type="expression" dxfId="9" priority="19">
      <formula>$CW126=TRUE</formula>
    </cfRule>
    <cfRule type="expression" dxfId="8" priority="20">
      <formula>$DH126=TRUE</formula>
    </cfRule>
  </conditionalFormatting>
  <conditionalFormatting sqref="X131">
    <cfRule type="expression" dxfId="7" priority="21">
      <formula>$CW131=TRUE</formula>
    </cfRule>
    <cfRule type="expression" dxfId="6" priority="22">
      <formula>$DH131=TRUE</formula>
    </cfRule>
  </conditionalFormatting>
  <conditionalFormatting sqref="X437">
    <cfRule type="expression" dxfId="5" priority="25">
      <formula>$CW437=TRUE</formula>
    </cfRule>
    <cfRule type="expression" dxfId="4" priority="26">
      <formula>$DH437=TRUE</formula>
    </cfRule>
  </conditionalFormatting>
  <conditionalFormatting sqref="X522:X529">
    <cfRule type="expression" dxfId="3" priority="29">
      <formula>$CW522=TRUE</formula>
    </cfRule>
    <cfRule type="expression" dxfId="2" priority="30">
      <formula>$DH522=TRUE</formula>
    </cfRule>
  </conditionalFormatting>
  <conditionalFormatting sqref="X534:X535">
    <cfRule type="expression" dxfId="1" priority="37">
      <formula>$DP534=TRUE</formula>
    </cfRule>
    <cfRule type="expression" dxfId="0" priority="38">
      <formula>$EA534=TRUE</formula>
    </cfRule>
  </conditionalFormatting>
  <dataValidations count="1">
    <dataValidation type="list" allowBlank="1" showErrorMessage="1" sqref="X16 X41 X51 X53 X56:X58 X61:X68 X82 X87:X91 X93:X94 X126:X129 X131 X153 X437 X522:X529 X534:X535">
      <formula1>Cost_Input2</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11</vt:i4>
      </vt:variant>
    </vt:vector>
  </HeadingPairs>
  <TitlesOfParts>
    <vt:vector size="11" baseType="lpstr">
      <vt:lpstr>Напрямки</vt:lpstr>
      <vt:lpstr>Контакти</vt:lpstr>
      <vt:lpstr>2023</vt:lpstr>
      <vt:lpstr>Напрями</vt:lpstr>
      <vt:lpstr>Assumptions TRC_AUN</vt:lpstr>
      <vt:lpstr>Assumptions HR_AUN</vt:lpstr>
      <vt:lpstr>Assumptions Other_AUN</vt:lpstr>
      <vt:lpstr>Budget_C19RM</vt:lpstr>
      <vt:lpstr>Assumptions_C19RM</vt:lpstr>
      <vt:lpstr>Budget_main</vt:lpstr>
      <vt:lpstr>ТБ-2023 (від ЦГЗ)</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Рабоволюк Євгенія</dc:creator>
  <cp:keywords/>
  <dc:description/>
  <cp:lastModifiedBy>Рабоволюк Євгенія</cp:lastModifiedBy>
  <cp:revision/>
  <dcterms:created xsi:type="dcterms:W3CDTF">2020-11-06T08:22:17Z</dcterms:created>
  <dcterms:modified xsi:type="dcterms:W3CDTF">2023-03-07T10:54:48Z</dcterms:modified>
  <cp:category/>
  <cp:contentStatus/>
</cp:coreProperties>
</file>